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bin" ContentType="application/vnd.openxmlformats-officedocument.oleObject"/>
  <Default Extension="png" ContentType="image/png"/>
  <Default Extension="emf" ContentType="image/x-e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E803" lockStructure="1"/>
  <bookViews>
    <workbookView windowWidth="32370" windowHeight="17775"/>
  </bookViews>
  <sheets>
    <sheet name="按提示输入属性" sheetId="13" r:id="rId1"/>
    <sheet name="按提示输入属性 (老版)" sheetId="42" state="hidden" r:id="rId2"/>
    <sheet name="额外增益统计" sheetId="16" state="hidden" r:id="rId3"/>
    <sheet name="属性计算面板" sheetId="3" state="hidden" r:id="rId4"/>
    <sheet name="装备源表" sheetId="39" state="hidden" r:id="rId5"/>
    <sheet name="伤害统计(理想)" sheetId="1" state="hidden" r:id="rId6"/>
    <sheet name="属性收益计算&amp;备注" sheetId="11" state="hidden" r:id="rId7"/>
    <sheet name="基础" sheetId="69" state="hidden" r:id="rId8"/>
    <sheet name="根骨" sheetId="70" state="hidden" r:id="rId9"/>
    <sheet name="会心" sheetId="71" state="hidden" r:id="rId10"/>
    <sheet name="会效" sheetId="72" state="hidden" r:id="rId11"/>
    <sheet name="破防" sheetId="73" state="hidden" r:id="rId12"/>
    <sheet name="无双" sheetId="74" state="hidden" r:id="rId13"/>
    <sheet name="破招" sheetId="75" state="hidden" r:id="rId14"/>
    <sheet name="伤害统计(脸黑)" sheetId="68" state="hidden" r:id="rId15"/>
    <sheet name="逆推系数" sheetId="21" state="hidden" r:id="rId16"/>
    <sheet name="伤害统计(原理想)" sheetId="37" state="hidden" r:id="rId17"/>
    <sheet name="形象化" sheetId="15" state="hidden" r:id="rId18"/>
    <sheet name="Sheet4" sheetId="41" state="hidden" r:id="rId19"/>
    <sheet name="伤害统计 (原)" sheetId="17" state="hidden" r:id="rId20"/>
    <sheet name="气剑时间轴" sheetId="8" state="hidden" r:id="rId21"/>
  </sheets>
  <definedNames>
    <definedName name="_xlnm._FilterDatabase" localSheetId="4" hidden="1">装备源表!$A$1:$AZ$734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admin</author>
  </authors>
  <commentList>
    <comment ref="I5" authorId="0">
      <text>
        <r>
          <rPr>
            <sz val="9"/>
            <rFont val="宋体"/>
            <charset val="134"/>
          </rPr>
          <t>月慕青尘:
月慕青尘:
所有技能-5%会心概率
由于剑三游戏内会心并非真概率，故而有次统计，你可能技能数都对了，但是DPS不对，可能就是会心出现的问题，通俗来讲，就是你有点黑。
20231005更新，脸黑DPS黑洞每波只能触发22下，每波紫气只能打6个紫气两仪。</t>
        </r>
      </text>
    </comment>
    <comment ref="C6" authorId="0">
      <text>
        <r>
          <rPr>
            <sz val="9"/>
            <rFont val="宋体"/>
            <charset val="134"/>
          </rPr>
          <t>月慕青尘:
240215
配装器使用指东
1.修改镶嵌等级会修改全身镶嵌等级，不支持单件修改
2.配装器产出的属性跟游戏内会有细微差别，不影响属性判断，待后期完善
240216
配装器模式添加了水特效、特效腰坠、赛季四件套、切糕套装属性的自动识别</t>
        </r>
      </text>
    </comment>
    <comment ref="H6" authorId="0">
      <text>
        <r>
          <rPr>
            <sz val="9"/>
            <rFont val="宋体"/>
            <charset val="134"/>
          </rPr>
          <t xml:space="preserve">月慕青尘:
240216
配装还是手动，选完增益之后，面板属性都会在这里展示。
</t>
        </r>
      </text>
    </comment>
    <comment ref="K6" authorId="0">
      <text>
        <r>
          <rPr>
            <sz val="9"/>
            <rFont val="宋体"/>
            <charset val="134"/>
          </rPr>
          <t>月慕青尘:
240216
算属性收益时，保证进战状态下(副本增益自己根据固定团的环境调整)，会心和破防收益相近，无双和破招收益相近，且数值上，破防和无双达到相对平衡，即为最终“大平衡”！！！
建议选增益只选小药、家园打包、帮会打包和宴什么这种固定数值增益，团队增益也只选弘法左旋奶歌盾，其他的团队增益没做好可能会不准！！！
不选增益就是木桩的估算，这个准。
ps.别有执念，很难平衡的，平衡了说不定DPS低了，因为还有没在平衡计算里，但是收益更高的会效呢，追求最高DPS和完美配装平衡之前，先找到如和让你躁动的内心平衡。心静，剑才能稳。</t>
        </r>
      </text>
    </comment>
    <comment ref="K7" authorId="0">
      <text>
        <r>
          <rPr>
            <sz val="9"/>
            <rFont val="宋体"/>
            <charset val="134"/>
          </rPr>
          <t>月慕青尘:
用来计算同容属性收益对比的单位(以基础攻击为对比基本)
单位最小建议100
单位最大建议475
ps.v1.185版本属性收益单位是1，所以波动会很大，故而v1.186加本功能</t>
        </r>
      </text>
    </comment>
    <comment ref="H10" authorId="0">
      <text>
        <r>
          <rPr>
            <b/>
            <sz val="9"/>
            <rFont val="宋体"/>
            <charset val="134"/>
          </rPr>
          <t>月慕青尘:</t>
        </r>
        <r>
          <rPr>
            <sz val="9"/>
            <rFont val="宋体"/>
            <charset val="134"/>
          </rPr>
          <t xml:space="preserve">
20240218
计算器算的是期望值，会导致会心收益看起来很高，但实际上会心越高实际副本里上限会越低。
配装做会心参考时，建议勾选四小药大阵还有阵眼(有条件的加上家园酒)，拿这些本里会轻易获得的会心增益跟其他装备进行对比。
ps.本赛季建议会心紫武40左右，橙武50左右。</t>
        </r>
      </text>
    </comment>
    <comment ref="Q17" authorId="0">
      <text>
        <r>
          <rPr>
            <b/>
            <sz val="9"/>
            <rFont val="宋体"/>
            <charset val="134"/>
          </rPr>
          <t>月慕青尘:</t>
        </r>
        <r>
          <rPr>
            <sz val="9"/>
            <rFont val="宋体"/>
            <charset val="134"/>
          </rPr>
          <t xml:space="preserve">
选择任何模式下，请注意是否打开CW开关以及是否选用CW触发模式。</t>
        </r>
      </text>
    </comment>
    <comment ref="J18" authorId="0">
      <text>
        <r>
          <rPr>
            <sz val="9"/>
            <rFont val="宋体"/>
            <charset val="134"/>
          </rPr>
          <t>月慕青尘:
紫武技能数相对固定，打不到推荐技能数可以参考“气纯攻略组”在B站发的紫武五分钟木桩视频进行参考练习，也可加禁摆群进行提问。</t>
        </r>
      </text>
    </comment>
    <comment ref="K18" authorId="0">
      <text>
        <r>
          <rPr>
            <sz val="9"/>
            <rFont val="宋体"/>
            <charset val="134"/>
          </rPr>
          <t>月慕青尘:
橙武技能数会根据特效变更，建议先使用紫武练习木桩基本功提升技能数，再使用橙武练习特效如何处理。</t>
        </r>
      </text>
    </comment>
    <comment ref="L18" authorId="1">
      <text>
        <r>
          <rPr>
            <sz val="9"/>
            <rFont val="宋体"/>
            <charset val="134"/>
          </rPr>
          <t>月慕青尘:
本列不许修改内容，根据调整的技能数自动生成，调整内容在可调整技能数位置调整</t>
        </r>
      </text>
    </comment>
    <comment ref="M18" authorId="0">
      <text>
        <r>
          <rPr>
            <sz val="9"/>
            <rFont val="宋体"/>
            <charset val="134"/>
          </rPr>
          <t>月慕青尘:
本列不许修改内容，根据调整的技能数自动生成，调整内容在可调整技能数位置调整。</t>
        </r>
      </text>
    </comment>
    <comment ref="N18" authorId="0">
      <text>
        <r>
          <rPr>
            <sz val="9"/>
            <rFont val="宋体"/>
            <charset val="134"/>
          </rPr>
          <t>月慕青尘:
本列不许修改内容，根据调整的技能数自动生成，调整内容在可调整技能数位置调整。</t>
        </r>
      </text>
    </comment>
    <comment ref="O18" authorId="1">
      <text>
        <r>
          <rPr>
            <sz val="9"/>
            <rFont val="宋体"/>
            <charset val="134"/>
          </rPr>
          <t xml:space="preserve">月慕青尘:
紫气固定循环技能，和自动生成技能。
</t>
        </r>
      </text>
    </comment>
    <comment ref="P18" authorId="1">
      <text>
        <r>
          <rPr>
            <sz val="9"/>
            <rFont val="宋体"/>
            <charset val="134"/>
          </rPr>
          <t>月慕青尘:
黄色部分是可以调整的部分。</t>
        </r>
      </text>
    </comment>
    <comment ref="R18" authorId="0">
      <text>
        <r>
          <rPr>
            <sz val="9"/>
            <rFont val="宋体"/>
            <charset val="134"/>
          </rPr>
          <t xml:space="preserve">月慕青尘:
会随着版本更新，如有不懂，可在下方二维码扫码加群问询。
</t>
        </r>
      </text>
    </comment>
    <comment ref="J19" authorId="0">
      <text>
        <r>
          <rPr>
            <sz val="9"/>
            <rFont val="宋体"/>
            <charset val="134"/>
          </rPr>
          <t>月慕青尘:
5分钟及格线≥90</t>
        </r>
      </text>
    </comment>
    <comment ref="P19" authorId="1">
      <text>
        <r>
          <rPr>
            <sz val="9"/>
            <rFont val="宋体"/>
            <charset val="134"/>
          </rPr>
          <t xml:space="preserve">月慕青尘:
会根据两仪数生成对应技能数。
</t>
        </r>
      </text>
    </comment>
    <comment ref="R19" authorId="1">
      <text>
        <r>
          <rPr>
            <sz val="9"/>
            <rFont val="宋体"/>
            <charset val="134"/>
          </rPr>
          <t>攻略：
关于气纯气点应用以及如何打出更多高质量两仪</t>
        </r>
      </text>
    </comment>
    <comment ref="J20" authorId="0">
      <text>
        <r>
          <rPr>
            <sz val="9"/>
            <rFont val="宋体"/>
            <charset val="134"/>
          </rPr>
          <t>月慕青尘:
5分钟及格线≥600</t>
        </r>
      </text>
    </comment>
    <comment ref="P20" authorId="1">
      <text>
        <r>
          <rPr>
            <sz val="9"/>
            <rFont val="宋体"/>
            <charset val="134"/>
          </rPr>
          <t>月慕青尘:
只能输入5的整数倍，不足5会少5把飞剑</t>
        </r>
      </text>
    </comment>
    <comment ref="R20" authorId="1">
      <text>
        <r>
          <rPr>
            <sz val="9"/>
            <rFont val="宋体"/>
            <charset val="134"/>
          </rPr>
          <t>视频攻略讲解：
气纯紫武正气木桩5分钟循环解说版</t>
        </r>
      </text>
    </comment>
    <comment ref="J21" authorId="0">
      <text>
        <r>
          <rPr>
            <sz val="9"/>
            <rFont val="宋体"/>
            <charset val="134"/>
          </rPr>
          <t>月慕青尘:
5分钟及格线≥83</t>
        </r>
      </text>
    </comment>
    <comment ref="R21" authorId="1">
      <text>
        <r>
          <rPr>
            <sz val="9"/>
            <rFont val="宋体"/>
            <charset val="134"/>
          </rPr>
          <t xml:space="preserve">攻略：
关于气纯气点应用以及如何打出更多高质量两仪
</t>
        </r>
      </text>
    </comment>
    <comment ref="J22" authorId="0">
      <text>
        <r>
          <rPr>
            <sz val="9"/>
            <rFont val="宋体"/>
            <charset val="134"/>
          </rPr>
          <t xml:space="preserve">月慕青尘:
5分钟及格线≥154
单毛可以168
双毛可以182
</t>
        </r>
      </text>
    </comment>
    <comment ref="K22" authorId="0">
      <text>
        <r>
          <rPr>
            <sz val="9"/>
            <rFont val="宋体"/>
            <charset val="134"/>
          </rPr>
          <t>月慕青尘:
5分钟及格线≥154
毛九转可以168</t>
        </r>
      </text>
    </comment>
    <comment ref="R22" authorId="1">
      <text>
        <r>
          <rPr>
            <sz val="9"/>
            <rFont val="宋体"/>
            <charset val="134"/>
          </rPr>
          <t>攻略：
黑洞偷伤害的小贴士</t>
        </r>
      </text>
    </comment>
    <comment ref="J23" authorId="0">
      <text>
        <r>
          <rPr>
            <sz val="9"/>
            <rFont val="宋体"/>
            <charset val="134"/>
          </rPr>
          <t>月慕青尘:
5分钟及格线=93</t>
        </r>
      </text>
    </comment>
    <comment ref="K23" authorId="0">
      <text>
        <r>
          <rPr>
            <sz val="9"/>
            <rFont val="宋体"/>
            <charset val="134"/>
          </rPr>
          <t xml:space="preserve">月慕青尘:
5分钟及格线=93
</t>
        </r>
      </text>
    </comment>
    <comment ref="R23" authorId="1">
      <text>
        <r>
          <rPr>
            <sz val="9"/>
            <rFont val="宋体"/>
            <charset val="134"/>
          </rPr>
          <t>攻略：
黑洞偷伤害的小贴士</t>
        </r>
      </text>
    </comment>
    <comment ref="R24" authorId="1">
      <text>
        <r>
          <rPr>
            <sz val="9"/>
            <rFont val="宋体"/>
            <charset val="134"/>
          </rPr>
          <t>月慕青尘：
四象为填充技能，在非紫气阶段有快速回豆的用法和目的，但由于本身伤害很低，所以无需太过在意技能数量。</t>
        </r>
      </text>
    </comment>
    <comment ref="R25" authorId="1">
      <text>
        <r>
          <rPr>
            <sz val="9"/>
            <rFont val="宋体"/>
            <charset val="134"/>
          </rPr>
          <t>攻略：
紫霞功橙武循环指北</t>
        </r>
      </text>
    </comment>
    <comment ref="R26" authorId="1">
      <text>
        <r>
          <rPr>
            <sz val="9"/>
            <rFont val="宋体"/>
            <charset val="134"/>
          </rPr>
          <t>攻略：
气纯特效武器-腾空(空啸太玄剑)起手教学及演示</t>
        </r>
      </text>
    </comment>
    <comment ref="R27" authorId="1">
      <text>
        <r>
          <rPr>
            <sz val="9"/>
            <rFont val="宋体"/>
            <charset val="134"/>
          </rPr>
          <t>攻略：
11300品气纯特效武器[腾空]使用简述</t>
        </r>
      </text>
    </comment>
    <comment ref="R28" authorId="1">
      <text>
        <r>
          <rPr>
            <sz val="9"/>
            <rFont val="宋体"/>
            <charset val="134"/>
          </rPr>
          <t>攻略：
关于三才厚亡开启时机和最高收益应用</t>
        </r>
      </text>
    </comment>
    <comment ref="R29" authorId="1">
      <text>
        <r>
          <rPr>
            <sz val="9"/>
            <rFont val="宋体"/>
            <charset val="134"/>
          </rPr>
          <t xml:space="preserve">月慕青尘：
此为附魔辅助生成的伤害，数量不重要。
</t>
        </r>
      </text>
    </comment>
    <comment ref="R30" authorId="1">
      <text>
        <r>
          <rPr>
            <sz val="9"/>
            <rFont val="宋体"/>
            <charset val="134"/>
          </rPr>
          <t>攻略：
气纯特效武器-腾空(空啸太玄剑)起手教学及演示</t>
        </r>
      </text>
    </comment>
    <comment ref="D31" authorId="1">
      <text>
        <r>
          <rPr>
            <sz val="9"/>
            <rFont val="宋体"/>
            <charset val="134"/>
          </rPr>
          <t>月慕青尘:
建议只选300秒，对比预估木桩5分钟时间</t>
        </r>
      </text>
    </comment>
    <comment ref="R31" authorId="1">
      <text>
        <r>
          <rPr>
            <sz val="9"/>
            <rFont val="宋体"/>
            <charset val="134"/>
          </rPr>
          <t>月慕青尘：
此为附魔辅助生成的伤害，数量不重要。</t>
        </r>
      </text>
    </comment>
    <comment ref="R32" authorId="1">
      <text>
        <r>
          <rPr>
            <sz val="9"/>
            <rFont val="宋体"/>
            <charset val="134"/>
          </rPr>
          <t>攻略：
黑洞偷伤害的小贴士</t>
        </r>
      </text>
    </comment>
    <comment ref="R33" authorId="1">
      <text>
        <r>
          <rPr>
            <sz val="9"/>
            <rFont val="宋体"/>
            <charset val="134"/>
          </rPr>
          <t>攻略：
关于三才厚亡开启时机和最高收益应用</t>
        </r>
      </text>
    </comment>
    <comment ref="R34" authorId="1">
      <text>
        <r>
          <rPr>
            <sz val="9"/>
            <rFont val="宋体"/>
            <charset val="134"/>
          </rPr>
          <t>攻略：
紫霞功橙武循环指北</t>
        </r>
      </text>
    </comment>
    <comment ref="R35" authorId="1">
      <text>
        <r>
          <rPr>
            <sz val="9"/>
            <rFont val="宋体"/>
            <charset val="134"/>
          </rPr>
          <t>月慕青尘：
此为附魔辅助生成的伤害，数量不重要。</t>
        </r>
      </text>
    </comment>
    <comment ref="R36" authorId="1">
      <text>
        <r>
          <rPr>
            <sz val="9"/>
            <rFont val="宋体"/>
            <charset val="134"/>
          </rPr>
          <t>月慕青尘：
此为附魔辅助生成的伤害，数量不重要。</t>
        </r>
      </text>
    </comment>
    <comment ref="D42" authorId="1">
      <text>
        <r>
          <rPr>
            <sz val="9"/>
            <rFont val="宋体"/>
            <charset val="134"/>
          </rPr>
          <t>月慕青尘:
还没调整好，看看就行了，还不准。
231214 加入CW模块进行测试
231217 优化功能添加手动选择触发位置和万二气竭次数自定义</t>
        </r>
      </text>
    </comment>
    <comment ref="D43" authorId="0">
      <text>
        <r>
          <rPr>
            <sz val="9"/>
            <rFont val="宋体"/>
            <charset val="134"/>
          </rPr>
          <t>月慕青尘:
增加切换手动模式或者自动模式
按照固本、常规的CW特效触发，及单词特效万二数量&amp;单次特效气竭数排序，自动的三种情况触发次数分别是
[煤球局]24 4 10
[常规局]34 4 10
[阳寿局]53 4 10</t>
        </r>
      </text>
    </comment>
    <comment ref="D48" authorId="1">
      <text>
        <r>
          <rPr>
            <b/>
            <sz val="9"/>
            <rFont val="宋体"/>
            <charset val="134"/>
          </rPr>
          <t>月慕青尘:</t>
        </r>
        <r>
          <rPr>
            <sz val="9"/>
            <rFont val="宋体"/>
            <charset val="134"/>
          </rPr>
          <t xml:space="preserve">
240218
调整万二特效的时候，默认两仪和破会变，记得自己手动调整一下。
</t>
        </r>
      </text>
    </comment>
    <comment ref="C106" authorId="0">
      <text>
        <r>
          <rPr>
            <sz val="9"/>
            <rFont val="宋体"/>
            <charset val="134"/>
          </rPr>
          <t>月慕青尘:
理想化的内容：
1.四件套4%会心会效全程叠加
2.伤腰大附魔CD好了就会刷新，且会比实际增益偏高
3.所有会心计算均为真会心，实战过程中会偏低的情况多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admin</author>
  </authors>
  <commentList>
    <comment ref="I5" authorId="0">
      <text>
        <r>
          <rPr>
            <sz val="9"/>
            <rFont val="宋体"/>
            <charset val="134"/>
          </rPr>
          <t>月慕青尘:
月慕青尘:
所有技能-5%会心概率
由于剑三游戏内会心并非真概率，故而有次统计，你可能技能数都对了，但是DPS不对，可能就是会心出现的问题，通俗来讲，就是你有点黑。
20231005更新，脸黑DPS黑洞每波只能触发22下，每波紫气只能打6个紫气两仪。</t>
        </r>
      </text>
    </comment>
    <comment ref="K24" authorId="0">
      <text>
        <r>
          <rPr>
            <sz val="9"/>
            <rFont val="宋体"/>
            <charset val="134"/>
          </rPr>
          <t>月慕青尘:
紫武技能数相对固定，打不到推荐技能数可以参考“气纯攻略组”在B站发的紫武五分钟木桩视频进行参考练习，也可加禁摆群进行提问。</t>
        </r>
      </text>
    </comment>
    <comment ref="L24" authorId="0">
      <text>
        <r>
          <rPr>
            <sz val="9"/>
            <rFont val="宋体"/>
            <charset val="134"/>
          </rPr>
          <t>月慕青尘:
橙武技能数会根据特效变更，建议先使用紫武练习木桩基本功提升技能数，再使用橙武练习特效如何处理。</t>
        </r>
      </text>
    </comment>
    <comment ref="M24" authorId="1">
      <text>
        <r>
          <rPr>
            <sz val="9"/>
            <rFont val="宋体"/>
            <charset val="134"/>
          </rPr>
          <t>月慕青尘:
本列不许修改内容，根据调整的技能数自动生成，调整内容在可调整技能数位置调整</t>
        </r>
      </text>
    </comment>
    <comment ref="N24" authorId="0">
      <text>
        <r>
          <rPr>
            <sz val="9"/>
            <rFont val="宋体"/>
            <charset val="134"/>
          </rPr>
          <t>月慕青尘:
本列不许修改内容，根据调整的技能数自动生成，调整内容在可调整技能数位置调整。</t>
        </r>
      </text>
    </comment>
    <comment ref="O24" authorId="0">
      <text>
        <r>
          <rPr>
            <sz val="9"/>
            <rFont val="宋体"/>
            <charset val="134"/>
          </rPr>
          <t>月慕青尘:
本列不许修改内容，根据调整的技能数自动生成，调整内容在可调整技能数位置调整。</t>
        </r>
      </text>
    </comment>
    <comment ref="P24" authorId="1">
      <text>
        <r>
          <rPr>
            <sz val="9"/>
            <rFont val="宋体"/>
            <charset val="134"/>
          </rPr>
          <t xml:space="preserve">月慕青尘:
紫气固定循环技能，和自动生成技能。
</t>
        </r>
      </text>
    </comment>
    <comment ref="Q24" authorId="1">
      <text>
        <r>
          <rPr>
            <sz val="9"/>
            <rFont val="宋体"/>
            <charset val="134"/>
          </rPr>
          <t>月慕青尘:
黄色部分是可以调整的部分。</t>
        </r>
      </text>
    </comment>
    <comment ref="S24" authorId="0">
      <text>
        <r>
          <rPr>
            <sz val="9"/>
            <rFont val="宋体"/>
            <charset val="134"/>
          </rPr>
          <t xml:space="preserve">月慕青尘:
会随着版本更新，如有不懂，可在下方二维码扫码加群问询。
</t>
        </r>
      </text>
    </comment>
    <comment ref="K25" authorId="0">
      <text>
        <r>
          <rPr>
            <sz val="9"/>
            <rFont val="宋体"/>
            <charset val="134"/>
          </rPr>
          <t>月慕青尘:
5分钟及格线≥120
截止2023/12/19
5分钟最高破招数128</t>
        </r>
      </text>
    </comment>
    <comment ref="Q25" authorId="1">
      <text>
        <r>
          <rPr>
            <sz val="9"/>
            <rFont val="宋体"/>
            <charset val="134"/>
          </rPr>
          <t xml:space="preserve">月慕青尘:
会根据两仪数生成对应技能数。
</t>
        </r>
      </text>
    </comment>
    <comment ref="S25" authorId="1">
      <text>
        <r>
          <rPr>
            <sz val="9"/>
            <rFont val="宋体"/>
            <charset val="134"/>
          </rPr>
          <t>攻略：
关于气纯气点应用以及如何打出更多高质量两仪</t>
        </r>
      </text>
    </comment>
    <comment ref="K26" authorId="0">
      <text>
        <r>
          <rPr>
            <sz val="9"/>
            <rFont val="宋体"/>
            <charset val="134"/>
          </rPr>
          <t xml:space="preserve">月慕青尘:
5分钟及格线≥620
截止2023/12/19
5分钟最高飞剑数640
</t>
        </r>
      </text>
    </comment>
    <comment ref="Q26" authorId="1">
      <text>
        <r>
          <rPr>
            <sz val="9"/>
            <rFont val="宋体"/>
            <charset val="134"/>
          </rPr>
          <t>月慕青尘:
只能输入5的整数倍，不足5会少5把飞剑</t>
        </r>
      </text>
    </comment>
    <comment ref="S26" authorId="1">
      <text>
        <r>
          <rPr>
            <sz val="9"/>
            <rFont val="宋体"/>
            <charset val="134"/>
          </rPr>
          <t>视频攻略讲解：
气纯紫武正气木桩5分钟循环解说版</t>
        </r>
      </text>
    </comment>
    <comment ref="K27" authorId="0">
      <text>
        <r>
          <rPr>
            <sz val="9"/>
            <rFont val="宋体"/>
            <charset val="134"/>
          </rPr>
          <t xml:space="preserve">月慕青尘:
5分钟及格线≥120
截止2023/12/19
5分钟最高两仪数128
</t>
        </r>
      </text>
    </comment>
    <comment ref="S27" authorId="1">
      <text>
        <r>
          <rPr>
            <sz val="9"/>
            <rFont val="宋体"/>
            <charset val="134"/>
          </rPr>
          <t xml:space="preserve">攻略：
关于气纯气点应用以及如何打出更多高质量两仪
</t>
        </r>
      </text>
    </comment>
    <comment ref="K28" authorId="0">
      <text>
        <r>
          <rPr>
            <sz val="9"/>
            <rFont val="宋体"/>
            <charset val="134"/>
          </rPr>
          <t xml:space="preserve">月慕青尘:
5分钟及格线≥154
毛九转可以168
</t>
        </r>
      </text>
    </comment>
    <comment ref="L28" authorId="0">
      <text>
        <r>
          <rPr>
            <sz val="9"/>
            <rFont val="宋体"/>
            <charset val="134"/>
          </rPr>
          <t>月慕青尘:
5分钟及格线≥154
毛九转可以168</t>
        </r>
      </text>
    </comment>
    <comment ref="S28" authorId="1">
      <text>
        <r>
          <rPr>
            <sz val="9"/>
            <rFont val="宋体"/>
            <charset val="134"/>
          </rPr>
          <t>攻略：
黑洞偷伤害的小贴士</t>
        </r>
      </text>
    </comment>
    <comment ref="K29" authorId="0">
      <text>
        <r>
          <rPr>
            <sz val="9"/>
            <rFont val="宋体"/>
            <charset val="134"/>
          </rPr>
          <t>月慕青尘:
5分钟及格线=93</t>
        </r>
      </text>
    </comment>
    <comment ref="L29" authorId="0">
      <text>
        <r>
          <rPr>
            <sz val="9"/>
            <rFont val="宋体"/>
            <charset val="134"/>
          </rPr>
          <t xml:space="preserve">月慕青尘:
5分钟及格线=93
</t>
        </r>
      </text>
    </comment>
    <comment ref="S29" authorId="1">
      <text>
        <r>
          <rPr>
            <sz val="9"/>
            <rFont val="宋体"/>
            <charset val="134"/>
          </rPr>
          <t>攻略：
黑洞偷伤害的小贴士</t>
        </r>
      </text>
    </comment>
    <comment ref="S30" authorId="1">
      <text>
        <r>
          <rPr>
            <sz val="9"/>
            <rFont val="宋体"/>
            <charset val="134"/>
          </rPr>
          <t>月慕青尘：
四象为填充技能，在非紫气阶段有快速回豆的用法和目的，但由于本身伤害很低，所以无需太过在意技能数量。</t>
        </r>
      </text>
    </comment>
    <comment ref="D31" authorId="1">
      <text>
        <r>
          <rPr>
            <sz val="9"/>
            <rFont val="宋体"/>
            <charset val="134"/>
          </rPr>
          <t>月慕青尘:
建议只选300秒，对比预估木桩5分钟时间</t>
        </r>
      </text>
    </comment>
    <comment ref="S31" authorId="1">
      <text>
        <r>
          <rPr>
            <sz val="9"/>
            <rFont val="宋体"/>
            <charset val="134"/>
          </rPr>
          <t>攻略：
紫霞功橙武循环指北</t>
        </r>
      </text>
    </comment>
    <comment ref="S32" authorId="1">
      <text>
        <r>
          <rPr>
            <sz val="9"/>
            <rFont val="宋体"/>
            <charset val="134"/>
          </rPr>
          <t>攻略：
气纯特效武器-腾空(空啸太玄剑)起手教学及演示</t>
        </r>
      </text>
    </comment>
    <comment ref="S33" authorId="1">
      <text>
        <r>
          <rPr>
            <sz val="9"/>
            <rFont val="宋体"/>
            <charset val="134"/>
          </rPr>
          <t>攻略：
11300品气纯特效武器[腾空]使用简述</t>
        </r>
      </text>
    </comment>
    <comment ref="K34" authorId="0">
      <text>
        <r>
          <rPr>
            <sz val="9"/>
            <rFont val="宋体"/>
            <charset val="134"/>
          </rPr>
          <t>月慕青尘:
及格线：5分5秒10次厚亡</t>
        </r>
      </text>
    </comment>
    <comment ref="L34" authorId="0">
      <text>
        <r>
          <rPr>
            <sz val="9"/>
            <rFont val="宋体"/>
            <charset val="134"/>
          </rPr>
          <t xml:space="preserve">月慕青尘:
及格线：5分5秒10次厚亡
</t>
        </r>
      </text>
    </comment>
    <comment ref="S34" authorId="1">
      <text>
        <r>
          <rPr>
            <sz val="9"/>
            <rFont val="宋体"/>
            <charset val="134"/>
          </rPr>
          <t>攻略：
关于三才厚亡开启时机和最高收益应用</t>
        </r>
      </text>
    </comment>
    <comment ref="S35" authorId="1">
      <text>
        <r>
          <rPr>
            <sz val="9"/>
            <rFont val="宋体"/>
            <charset val="134"/>
          </rPr>
          <t xml:space="preserve">月慕青尘：
此为附魔辅助生成的伤害，数量不重要。
</t>
        </r>
      </text>
    </comment>
    <comment ref="S36" authorId="1">
      <text>
        <r>
          <rPr>
            <sz val="9"/>
            <rFont val="宋体"/>
            <charset val="134"/>
          </rPr>
          <t>攻略：
气纯特效武器-腾空(空啸太玄剑)起手教学及演示</t>
        </r>
      </text>
    </comment>
    <comment ref="S37" authorId="1">
      <text>
        <r>
          <rPr>
            <sz val="9"/>
            <rFont val="宋体"/>
            <charset val="134"/>
          </rPr>
          <t>月慕青尘：
此为附魔辅助生成的伤害，数量不重要。</t>
        </r>
      </text>
    </comment>
    <comment ref="S38" authorId="1">
      <text>
        <r>
          <rPr>
            <sz val="9"/>
            <rFont val="宋体"/>
            <charset val="134"/>
          </rPr>
          <t>攻略：
黑洞偷伤害的小贴士</t>
        </r>
      </text>
    </comment>
    <comment ref="S39" authorId="1">
      <text>
        <r>
          <rPr>
            <sz val="9"/>
            <rFont val="宋体"/>
            <charset val="134"/>
          </rPr>
          <t>攻略：
关于三才厚亡开启时机和最高收益应用</t>
        </r>
      </text>
    </comment>
    <comment ref="S40" authorId="1">
      <text>
        <r>
          <rPr>
            <sz val="9"/>
            <rFont val="宋体"/>
            <charset val="134"/>
          </rPr>
          <t>攻略：
紫霞功橙武循环指北</t>
        </r>
      </text>
    </comment>
    <comment ref="D42" authorId="1">
      <text>
        <r>
          <rPr>
            <sz val="9"/>
            <rFont val="宋体"/>
            <charset val="134"/>
          </rPr>
          <t>月慕青尘:
还没调整好，看看就行了，还不准。
231214 加入CW模块进行测试
231217 优化功能添加手动选择触发位置和万二气竭次数自定义</t>
        </r>
      </text>
    </comment>
    <comment ref="D43" authorId="0">
      <text>
        <r>
          <rPr>
            <sz val="9"/>
            <rFont val="宋体"/>
            <charset val="134"/>
          </rPr>
          <t>月慕青尘:
240212 增加切换手动模式或者自动模式
按照固本、厚亡、常规的CW特效触发，及单词特效万二数量&amp;单次特效气竭数排序，自动的三种情况触发次数分别是
[煤球局]213 4 10
[常规局]313 4 10
[阳寿局]512 4 10</t>
        </r>
      </text>
    </comment>
    <comment ref="C105" authorId="0">
      <text>
        <r>
          <rPr>
            <sz val="9"/>
            <rFont val="宋体"/>
            <charset val="134"/>
          </rPr>
          <t>月慕青尘:
理想化的内容：
1.四件套4%会心会效全程叠加
2.伤腰大附魔CD好了就会刷新，且会比实际增益偏高
3.所有会心计算均为真会心，实战过程中会偏低的情况多</t>
        </r>
      </text>
    </comment>
  </commentList>
</comments>
</file>

<file path=xl/sharedStrings.xml><?xml version="1.0" encoding="utf-8"?>
<sst xmlns="http://schemas.openxmlformats.org/spreadsheetml/2006/main" count="7754" uniqueCount="1116">
  <si>
    <t>【雾海寻龙】气纯dps计算器 v1.241(240505)</t>
  </si>
  <si>
    <t>选择配装模式</t>
  </si>
  <si>
    <t>DPS统计</t>
  </si>
  <si>
    <t>脸黑DPS</t>
  </si>
  <si>
    <t>属性计算模式</t>
  </si>
  <si>
    <t>手动模式</t>
  </si>
  <si>
    <t>选择手动&amp;配装器</t>
  </si>
  <si>
    <t>配装器模式选择框</t>
  </si>
  <si>
    <t>当前计算面板属性展示</t>
  </si>
  <si>
    <t>属性收益</t>
  </si>
  <si>
    <t>装备位置</t>
  </si>
  <si>
    <t>装备选择</t>
  </si>
  <si>
    <t>附魔</t>
  </si>
  <si>
    <t>属性</t>
  </si>
  <si>
    <t>数值</t>
  </si>
  <si>
    <t>说明</t>
  </si>
  <si>
    <t>属性收益单位</t>
  </si>
  <si>
    <t>帽子</t>
  </si>
  <si>
    <t>【门派套装】灵源·期颐冠(13750招破)</t>
  </si>
  <si>
    <t>破招[974]</t>
  </si>
  <si>
    <t>基础攻击</t>
  </si>
  <si>
    <r>
      <rPr>
        <sz val="11"/>
        <color theme="1"/>
        <rFont val="微软雅黑 Light"/>
        <charset val="134"/>
      </rPr>
      <t xml:space="preserve">←←←
此处为计算器
生成的
</t>
    </r>
    <r>
      <rPr>
        <sz val="8"/>
        <color theme="1"/>
        <rFont val="微软雅黑 Light"/>
        <charset val="134"/>
      </rPr>
      <t>(加了增益的)</t>
    </r>
    <r>
      <rPr>
        <sz val="11"/>
        <color theme="1"/>
        <rFont val="微软雅黑 Light"/>
        <charset val="134"/>
      </rPr>
      <t xml:space="preserve">
面板属性
</t>
    </r>
    <r>
      <rPr>
        <b/>
        <sz val="11"/>
        <color rgb="FFFF0000"/>
        <rFont val="微软雅黑 Light"/>
        <charset val="134"/>
      </rPr>
      <t>不可修改</t>
    </r>
    <r>
      <rPr>
        <sz val="11"/>
        <color theme="1"/>
        <rFont val="微软雅黑 Light"/>
        <charset val="134"/>
      </rPr>
      <t xml:space="preserve">
←←←</t>
    </r>
  </si>
  <si>
    <t>衣服</t>
  </si>
  <si>
    <t>【门派套装】灵源·期颐衣(13750会无)</t>
  </si>
  <si>
    <t>无双[291]</t>
  </si>
  <si>
    <t>攻击力</t>
  </si>
  <si>
    <t>腰带</t>
  </si>
  <si>
    <t>【门派套装】灵源·期颐腰带(13750会无)</t>
  </si>
  <si>
    <t>会心</t>
  </si>
  <si>
    <t>护手</t>
  </si>
  <si>
    <t>淮泽护腕(13950精简攻会会破)</t>
  </si>
  <si>
    <t>无双[974]</t>
  </si>
  <si>
    <t>会效</t>
  </si>
  <si>
    <t>裤子</t>
  </si>
  <si>
    <t>南依裤(13950精简攻招破无)</t>
  </si>
  <si>
    <t>破防</t>
  </si>
  <si>
    <t>鞋子</t>
  </si>
  <si>
    <t>【门派套装】灵源·期颐靴(13750破无)</t>
  </si>
  <si>
    <t>无双</t>
  </si>
  <si>
    <t>项链</t>
  </si>
  <si>
    <t>寒霖链(14150招破)</t>
  </si>
  <si>
    <t>体质[327]</t>
  </si>
  <si>
    <t>破招</t>
  </si>
  <si>
    <t>腰坠</t>
  </si>
  <si>
    <t>池上雨(13950特效破无)</t>
  </si>
  <si>
    <t>戒指</t>
  </si>
  <si>
    <t>希延戒(13950精简攻会会招)</t>
  </si>
  <si>
    <t>理想技能数伤害统计(调整技能数未做完)</t>
  </si>
  <si>
    <t>伤害统计模式选择</t>
  </si>
  <si>
    <t>咩崽在这儿输入</t>
  </si>
  <si>
    <t>紫武技能数标准模式</t>
  </si>
  <si>
    <t>暗器</t>
  </si>
  <si>
    <t>枝绫囊(13950招破)</t>
  </si>
  <si>
    <t>加速[974]</t>
  </si>
  <si>
    <t>武器</t>
  </si>
  <si>
    <t>伴雪声(13950特效破无)</t>
  </si>
  <si>
    <t>内攻[524]</t>
  </si>
  <si>
    <t>点击跳转攻略</t>
  </si>
  <si>
    <t>五彩石</t>
  </si>
  <si>
    <t>彩·破招·混沌·霹雳(陆)(招破会)</t>
  </si>
  <si>
    <t>镶嵌等级</t>
  </si>
  <si>
    <t>八级</t>
  </si>
  <si>
    <t>手动配装模式输入框</t>
  </si>
  <si>
    <t>←←←
←←←
←←←
输入面板属性
←←←
←←←
←←←</t>
  </si>
  <si>
    <t>数量不重要</t>
  </si>
  <si>
    <t>自动生成</t>
  </si>
  <si>
    <t>战斗时间(秒)</t>
  </si>
  <si>
    <t>腾空开启选择&amp;紫气次数选择</t>
  </si>
  <si>
    <t>状态</t>
  </si>
  <si>
    <t>开启次数</t>
  </si>
  <si>
    <t>腾空·凭虚</t>
  </si>
  <si>
    <t>手动输入技能数量</t>
  </si>
  <si>
    <t>腾空·三才</t>
  </si>
  <si>
    <t>不可调整</t>
  </si>
  <si>
    <t>紫气开启次数</t>
  </si>
  <si>
    <t>根据战斗时间生成</t>
  </si>
  <si>
    <t>小CW模块(四象+5%会心)</t>
  </si>
  <si>
    <t>小CW开启开关</t>
  </si>
  <si>
    <t>开启=1  关闭=0</t>
  </si>
  <si>
    <t>CW模块(四象+5%伤害，神兵效果已做好)</t>
  </si>
  <si>
    <t>CW开启开关</t>
  </si>
  <si>
    <t>CW模式选择</t>
  </si>
  <si>
    <t>不开启CW模式</t>
  </si>
  <si>
    <t>选择CW触发模式</t>
  </si>
  <si>
    <t>[手动]CW模式输入区(CW[自动]模式无需考虑此处)</t>
  </si>
  <si>
    <t>固本紫气触发</t>
  </si>
  <si>
    <t>输入特效触发数量</t>
  </si>
  <si>
    <t>非紫气常规触发</t>
  </si>
  <si>
    <t>单次特效万二数</t>
  </si>
  <si>
    <t>单次特效万二数量</t>
  </si>
  <si>
    <t>单次特效气竭数</t>
  </si>
  <si>
    <t>单次特效气竭跳量</t>
  </si>
  <si>
    <t>计算器设定开关</t>
  </si>
  <si>
    <t>开关</t>
  </si>
  <si>
    <t>斩杀开启</t>
  </si>
  <si>
    <r>
      <rPr>
        <b/>
        <sz val="11"/>
        <color theme="1"/>
        <rFont val="微软雅黑 Light"/>
        <charset val="134"/>
      </rPr>
      <t xml:space="preserve">计算器设定使用说明
</t>
    </r>
    <r>
      <rPr>
        <sz val="11"/>
        <color theme="9" tint="-0.5"/>
        <rFont val="微软雅黑 Light"/>
        <charset val="134"/>
      </rPr>
      <t>绿色:手动需选择</t>
    </r>
    <r>
      <rPr>
        <sz val="11"/>
        <color theme="1"/>
        <rFont val="微软雅黑 Light"/>
        <charset val="134"/>
      </rPr>
      <t xml:space="preserve">
</t>
    </r>
    <r>
      <rPr>
        <sz val="11"/>
        <color theme="4" tint="-0.5"/>
        <rFont val="微软雅黑 Light"/>
        <charset val="134"/>
      </rPr>
      <t>蓝色:配装器需选择</t>
    </r>
    <r>
      <rPr>
        <sz val="11"/>
        <color theme="1"/>
        <rFont val="微软雅黑 Light"/>
        <charset val="134"/>
      </rPr>
      <t xml:space="preserve">
</t>
    </r>
    <r>
      <rPr>
        <sz val="11"/>
        <color theme="6" tint="-0.5"/>
        <rFont val="微软雅黑 Light"/>
        <charset val="134"/>
      </rPr>
      <t>灰色:全部模式需选择</t>
    </r>
    <r>
      <rPr>
        <b/>
        <sz val="11"/>
        <color theme="1"/>
        <rFont val="微软雅黑 Light"/>
        <charset val="134"/>
      </rPr>
      <t xml:space="preserve">
</t>
    </r>
    <r>
      <rPr>
        <sz val="11"/>
        <color theme="1"/>
        <rFont val="微软雅黑 Light"/>
        <charset val="134"/>
      </rPr>
      <t>←←←
←←←
←←←
有=1
无=0
←←←
←←←
←←←</t>
    </r>
  </si>
  <si>
    <t>套装万世</t>
  </si>
  <si>
    <t>套装双会</t>
  </si>
  <si>
    <t>万
灵
当
歌</t>
  </si>
  <si>
    <t>帽子大附魔</t>
  </si>
  <si>
    <t>13950帽子大附魔</t>
  </si>
  <si>
    <t>衣服大附魔</t>
  </si>
  <si>
    <t>13950衣服大附魔</t>
  </si>
  <si>
    <t>腰带大附魔</t>
  </si>
  <si>
    <t>全等级腰带大附魔</t>
  </si>
  <si>
    <t>护腕大附魔</t>
  </si>
  <si>
    <t>13950护腕大附魔</t>
  </si>
  <si>
    <t>鞋子大附魔</t>
  </si>
  <si>
    <t>13950鞋子大附魔</t>
  </si>
  <si>
    <t>水特效·13950</t>
  </si>
  <si>
    <t>特效腰坠·池上雨</t>
  </si>
  <si>
    <t>池上雨·13950</t>
  </si>
  <si>
    <t>奇穴·万物</t>
  </si>
  <si>
    <t>奇穴·正气</t>
  </si>
  <si>
    <t>奇穴·破势</t>
  </si>
  <si>
    <t>奇穴·抱阳</t>
  </si>
  <si>
    <t>奇穴·若冲</t>
  </si>
  <si>
    <t>增益名称</t>
  </si>
  <si>
    <t>增益选择</t>
  </si>
  <si>
    <t>辅助类食品</t>
  </si>
  <si>
    <t>←←←
←←←
←←←
←←←
←←←
←←←
←←←
←←←
选择增益
←←←
←←←
←←←
←←←
←←←
←←←
←←←
←←←</t>
  </si>
  <si>
    <t>增强类食品</t>
  </si>
  <si>
    <t>辅助类药品</t>
  </si>
  <si>
    <t>增强类药品</t>
  </si>
  <si>
    <t>家园酒</t>
  </si>
  <si>
    <t>家园料理</t>
  </si>
  <si>
    <t>帮会打包</t>
  </si>
  <si>
    <t>帮会宴席</t>
  </si>
  <si>
    <t>水煮鱼</t>
  </si>
  <si>
    <t>大宴</t>
  </si>
  <si>
    <t>阵眼选择</t>
  </si>
  <si>
    <t>舍身弘法</t>
  </si>
  <si>
    <t>朝圣言</t>
  </si>
  <si>
    <t>寒啸千军</t>
  </si>
  <si>
    <t>振奋</t>
  </si>
  <si>
    <t>号令三军</t>
  </si>
  <si>
    <t>左旋右转</t>
  </si>
  <si>
    <t>秋肃</t>
  </si>
  <si>
    <t>仙王蛊鼎</t>
  </si>
  <si>
    <t>庄周梦</t>
  </si>
  <si>
    <t>八段锦(秘境)</t>
  </si>
  <si>
    <t>木桩推荐奇穴</t>
  </si>
  <si>
    <t>注意事项</t>
  </si>
  <si>
    <t>1.默认一段加速。</t>
  </si>
  <si>
    <t>2.默认目标为124级极境木桩，且只有一个目标。</t>
  </si>
  <si>
    <t>3.默认紫气东来的紫气阶段只打两仪，三才厚望紫气阶段只打两仪。</t>
  </si>
  <si>
    <t>4.进本满增益状态与木桩理论属性不同，DPS根据木桩技能循环不同，计算器产出数值仅供配装参考。</t>
  </si>
  <si>
    <t>5.新增群侠万变赛季改动。</t>
  </si>
  <si>
    <t>6.0504发现会心属性影响DPS严重，因为本赛季技改，导致会心影响两仪质量，而计算器不同于游戏里的真实会心效果，即游戏中会心越高DPS下限越高上限越低，低会心也有机会会心率等同高会心，因为真随机，故而计算器会错估会心收益，建议配装上会心属性大于25%低于35%，后续想到解决方案会更新。</t>
  </si>
  <si>
    <t>更新日志</t>
  </si>
  <si>
    <t>2023/1/20|v0.1</t>
  </si>
  <si>
    <t>加入时长判定，根据不同时长生成不同技能数。</t>
  </si>
  <si>
    <t>2023/1/19|v0.2</t>
  </si>
  <si>
    <t>第一次做计算器，还有很多不成熟的地方，暂时没有计算身上大附魔、水特效和特效腰坠的收益，也没有阵眼和其他增益，暂时只用作打114极境木桩的伤害测试。</t>
  </si>
  <si>
    <t>2023/1/24|v0.3</t>
  </si>
  <si>
    <t>更新水特效武器+套装属性+大附魔。</t>
  </si>
  <si>
    <t>2023/1/25|v0.4</t>
  </si>
  <si>
    <t>更新腾空技能数据。</t>
  </si>
  <si>
    <t>2023/2/15|v0.5</t>
  </si>
  <si>
    <t>更新根据木桩时长，计算不同会心率下的技能比例。加入特效腰坠的计算。加入技能数统计。</t>
  </si>
  <si>
    <t>2023/2/24|v0.6</t>
  </si>
  <si>
    <t>修正特效腰坠数量引起飞剑数减少的BUG。修正飞剑计算方式。修正会心率限制，技能会心上限为100%。</t>
  </si>
  <si>
    <t>2023/3/22|v0.7</t>
  </si>
  <si>
    <t>修正特效腰坠数量引起六合次数+1的BUG，修正腾空特效数值，默认特效会心。修改两仪判定规则，更贴切实际战斗数据。更新小药、家园酒、家园料理、宴席效果、阵眼效果。</t>
  </si>
  <si>
    <t>2023/4/27|v0.8</t>
  </si>
  <si>
    <t>修正算法以及部分技能系数，重做表格初始计算部分，为方便咩咩们了解计算机制，开源伤害统计表格。调整正式服最新系数，上线。</t>
  </si>
  <si>
    <t>2023/5/5|v0.8</t>
  </si>
  <si>
    <t>修正会心算法以及气纯阵眼效果，修正新版本循环BUG。</t>
  </si>
  <si>
    <t>2023/5/6|v0.8</t>
  </si>
  <si>
    <t>修正厚亡紫气按固本紫气计算基础攻击加成的BUG，修正万世二段非侠加成的BUG，感谢微分老师DEBUG！！！</t>
  </si>
  <si>
    <t>2023/6/5|v0.9</t>
  </si>
  <si>
    <t>修正最新版阵眼效果，修复了取消破势的数值错误，添加4T5奶增益及可选项。</t>
  </si>
  <si>
    <t>2023/6/19|v0.91</t>
  </si>
  <si>
    <t>加入CW循环，斩杀机制，0619破势增强。</t>
  </si>
  <si>
    <t>2023/6/25|v0.92</t>
  </si>
  <si>
    <t>修改循环，万世在紫气前炸掉和三才消失前炸掉。</t>
  </si>
  <si>
    <t>2023/6/25|v0.93</t>
  </si>
  <si>
    <t>修正因改变循环导致的飞剑数异常的问题，同时修正计算器不计算破苍穹&amp;一段&amp;六合填充技能的问题(并未过度计算，还是能打爆计算器的)。</t>
  </si>
  <si>
    <t>2023/6/25|v0.94</t>
  </si>
  <si>
    <t>修改气纯阵眼收益。</t>
  </si>
  <si>
    <t>2023/6/26|v0.95</t>
  </si>
  <si>
    <t>修正循环(SGR14万二循环)，修正5分钟战斗时间应该有7次紫气的问题(从未接到过相关反馈)。</t>
  </si>
  <si>
    <t>2023/6/28|v0.96</t>
  </si>
  <si>
    <t>修正CW特效触发飞剑数不减少的BUG(禁摆群群友反馈)；优化了紫武CW的飞剑时间判定方式，现在可以更精准的判定飞剑数(思佬反馈)；优化了紫气三才数量输入部分，现在可以根据战斗时间自动生成紫气三才数量。</t>
  </si>
  <si>
    <t xml:space="preserve"> </t>
  </si>
  <si>
    <t>2023/7/14|v0.97</t>
  </si>
  <si>
    <t>修正两仪判定，使两仪伤害和破招伤害计算的更准确。目前打不爆计算器很正常，计算器算的结果非常理想。考虑到部分咩咩脸黑看着计算器的DPS陷入沉思，增加脸黑DPS统计，会心收益预期更接近游戏中脸黑的情况。另外加入了标准循环和理想循环两种判定，理想循环需凹，标准循环符合大多数场景，大家斟酌选取。添加特效腰坠和水特效增益分开选择的场景，同时优化了特效腰坠的作用和逻辑。</t>
  </si>
  <si>
    <t>2023/7/18|v0.98</t>
  </si>
  <si>
    <t>修正破招部分细节(预估伤害实在降不下来)，修正特效腰坠在标准循环和脸黑统计中不显示的BUG。</t>
  </si>
  <si>
    <t>2023/7/18|v0.99</t>
  </si>
  <si>
    <t>修正水特效收益有误的BUG。</t>
  </si>
  <si>
    <t>2023/7/22|v1.0</t>
  </si>
  <si>
    <t>优化破招计算以及收益方式，做了个简单测试，10厚亡14二段，五分钟136破上下的10组相对完美复刻的数据中，理想木桩循环计算器给出的结果误差在2.13%以内(最小的一次误差0.05%，基本误差都在计算器结果上下0.7%，后续会继续优化精度)。</t>
  </si>
  <si>
    <t>2023/10/24|v1.1</t>
  </si>
  <si>
    <t>万灵当歌版计算器移除标准技能数，加入黑洞伤害，增加万物奇穴和正气奇穴的选择和关联收益的动态调整，更新六合伤害递增系数，修复了紫气会效加成略高于游戏内体验的数值BUG，修复了六合伤害预估低的数值BUG，修复了空啸太玄剑持续伤害的数值BUG。
加入万灵阵可以选择。增益列表加入了八段锦的增益效果。
修复了特效腰坠没办法正确预估使用次数的BUG。</t>
  </si>
  <si>
    <t>2023/10/25|v1.11</t>
  </si>
  <si>
    <t>修复了万灵阵的覆盖率。</t>
  </si>
  <si>
    <t>2023/11/09|v1.12</t>
  </si>
  <si>
    <t>增加了正气是否打二段的伤害对比面板，修正了计算器说明关于三才阶段技能数问题。</t>
  </si>
  <si>
    <t>2023/11/12|v1.13</t>
  </si>
  <si>
    <t>增加了橙武&amp;紫武一个紫气循环的伤害对比，区分什么属性下可以支持打二段。相关结论参考【万灵当歌】关于气纯低破招&amp;高破招配装选择，以及万二合理性的推论。</t>
  </si>
  <si>
    <t>2023/11/14|v1.14</t>
  </si>
  <si>
    <t>增加了技能数输入调整DPS功能，部分调整了技能相关系数，紫霞功DPS模拟器应该会不日问世，详情请关注难为水@2063的《JX3DPS 模拟器》。</t>
  </si>
  <si>
    <t>2023/11/18|v1.15</t>
  </si>
  <si>
    <t>更新增益结算方式(不会出现破招小药的增益高出那么多的情况了)，更新本赛季所有增益数值，增加了小药属性展示。替换11150水特效、特效腰坠为本赛季最新13950品级，大附魔属性更新至13950赛季内容。增加衍天阵、易筋阵效果。</t>
  </si>
  <si>
    <t>2023/11/18|v1.16</t>
  </si>
  <si>
    <t>修复了花间阵收益过高的BUG，修改了毒经阵覆盖率的问题。</t>
  </si>
  <si>
    <t>2023/11/18|v1.17</t>
  </si>
  <si>
    <t xml:space="preserve">修复阵眼收益问题，修复了内伤收益显示过高的BUG，修复左旋右转、振奋、庄周梦最高层数未实装问题，修复了水特效武器数值表现异常的问题，修复了特效腰坠数值表现异常的问题。
</t>
  </si>
  <si>
    <t>2023/12/17|v1.18</t>
  </si>
  <si>
    <t>增加了正气CW技能数预估和手动输入，增加了CW模块自选CW触发位置和触发频率。增加了紫武和橙武的推荐技能数，和技能数不够的攻略跳转链接。调整了紫气带来的会效加成，使得计算更加精确。</t>
  </si>
  <si>
    <t>2023/12/18|v1.181</t>
  </si>
  <si>
    <t>修改CW模块说明文案，调整紫武推荐技能数，并完善技能数说明内容。</t>
  </si>
  <si>
    <t>2024/2/12|v1.182</t>
  </si>
  <si>
    <t>1.增加CW模块其他选择模式(手动模式，自动的三个模式)，输出结果更贴近真实木桩。
2.增加会心相关判定，会心会更接近游戏实际的效果，会心在现有版本会影响两仪和两仪破招的质量，会影响伤害占比。
3.修改紫气阶段两仪的质量，让计算器行为更贴近游戏本身。
4.修复一些常见的数值BUG。</t>
  </si>
  <si>
    <t>2024/2/13|v1.183</t>
  </si>
  <si>
    <t>1.修复家园料理[小炒青菜]数值有误的BUG。
2.更新CW模块相关判定。
3.完善非紫气循环时两仪算法，使两仪分布更加贴近真实木桩。
4.修复气纯阵因修改会心相关判定引起的BUG。</t>
  </si>
  <si>
    <t>2024/2/15|v1.184</t>
  </si>
  <si>
    <t>1.加入配装器，现在可以通过计算器选择装备看DPS，感谢陆寻寻(魔盒UID:23153)深夜DEBUG验证配装器思路。
2.配装器载入濯心&amp;灵源赛季的PVE装备，感谢幽月轮-莫烨华气咩提供配装表
3.配装器载入灵源赛季的小附魔
4.配装器载入五级六级气纯可用&amp;可能会用的部分五彩石
5.配装器载入镶嵌等级和精炼等级属性</t>
  </si>
  <si>
    <t>2024/2/16|v1.185</t>
  </si>
  <si>
    <t>1.配装器模式添加了水特效、特效腰坠、赛季四件套、切糕套装属性的自动识别
2.计算器设定开关区重做
3.增加可选五彩石
4.修复根骨收益计算少算心法转化的问题(之前家园根骨酒收益做低了)
5.增加同容属性收益对比
6.调整因增加同容属性和配装器引发的架构数值BUG
7.修复特效腰坠开启后少打一轮紫气黑洞的BUG
8.修复特效腰坠预估收益较低的问题</t>
  </si>
  <si>
    <t>2024/2/16|v1.186</t>
  </si>
  <si>
    <t>给属性收益对比增加属性收益单位填写区域，现在支持自己修改对比的属性单位的对比单位容量(以基础攻击为同容属性单位)，解决属性收益对比波动过大的问题。</t>
  </si>
  <si>
    <t>2024/2/18|v1.187</t>
  </si>
  <si>
    <t>1.配装器新增全品级小CW，方便配装运算
2.配装器数值修正，现在偏差极小(装备源表有空会改，争取以后做到0误差，现在的误差可以接受)
3.修复正在计算的面板额外显示套装双会和水特效加成的问题，使当前计算面板显示更贴近游戏面板
4.修正DPS运算BUG，误差缩减到浮点数(两仪的单技能误差在万分之1.6这样)
ps.特别感谢"陆寻寻"(魔盒UID:23153)、"难为水"(魔盒UID:2063)以及"幽月轮-莫烨华"帮助DEBUG，真的找了很久，万分感谢！</t>
  </si>
  <si>
    <t>2024/2/25|v1.188</t>
  </si>
  <si>
    <t>加会心相关属性的批注。</t>
  </si>
  <si>
    <t>2024/4/23|v1.20</t>
  </si>
  <si>
    <t>修改体服四改后技能系数，调整四改后木桩技能数和判定方式，弃用霜锋、心固、星辰奇穴开关，弃用CW模块厚亡触发输入开关，增加自动选择技能数的功能，计算器阶段性重构，目前计算器还未实装新的小附魔和装备，后续会更新。如果已经获得了装备或者新附魔，请通过手动输入来估算DPS。</t>
  </si>
  <si>
    <t>2024/2/24|v1.21</t>
  </si>
  <si>
    <t>修复CW循环中，气竭特效伤害预估不正确的BUG。</t>
  </si>
  <si>
    <t>2024/4/25|v1.22</t>
  </si>
  <si>
    <t>修复CW相关问题。</t>
  </si>
  <si>
    <t>2024/4/27|v1.23</t>
  </si>
  <si>
    <t>1.修复CW收益计算的BUG
2.修复特效腰坠影响技能数的问题
3.更新新赛季小药属性
4.更新装备小附魔
5.删除12450水特效&amp;特效腰坠触发，新增15600水特效&amp;特效腰坠触发。</t>
  </si>
  <si>
    <t>2024/5/2|v1.231</t>
  </si>
  <si>
    <t>1.更新雾海寻龙赛季大附魔。
2.更新雾海寻龙赛季阵眼效果。
3.增加小CW开关，选中后四象会心加5%。
4.增加CW四象加伤害5%的判定。
5.增加CW神兵效果。</t>
  </si>
  <si>
    <t>2024/5/4|v1.24</t>
  </si>
  <si>
    <t>1.更新计算器设定开关开启模式。
2.更新技能数标准。
3.增加大CW二段加速技能数。
4.修复腰带大附魔不生效的BUG。</t>
  </si>
  <si>
    <t>2024/5/5|v1.241</t>
  </si>
  <si>
    <t>调整紫武&amp;橙武二段的技能数。</t>
  </si>
  <si>
    <t>【万灵当歌】气纯dps计算器 v1.184(20240215[🐉年]特别版更新)</t>
  </si>
  <si>
    <t>配装器属性展示</t>
  </si>
  <si>
    <t>破招[883]</t>
  </si>
  <si>
    <t>←←←
←←←
此处为配装器
生成的属性
不可修改
←←←
←←←</t>
  </si>
  <si>
    <t>无双[264]</t>
  </si>
  <si>
    <t>松辉护臂(13950精简体攻招破)</t>
  </si>
  <si>
    <t>会心[883]</t>
  </si>
  <si>
    <t>寒绡戒(13950会无)</t>
  </si>
  <si>
    <t>扬英指环(13950招破)</t>
  </si>
  <si>
    <t>寒绡囊(13950会无)</t>
  </si>
  <si>
    <t>加速[883]</t>
  </si>
  <si>
    <t>内攻[475]</t>
  </si>
  <si>
    <t>序号</t>
  </si>
  <si>
    <t>技能名称</t>
  </si>
  <si>
    <t>紫武推荐技能数</t>
  </si>
  <si>
    <t>橙武推荐技能数</t>
  </si>
  <si>
    <t>当前计算次数</t>
  </si>
  <si>
    <t>伤害</t>
  </si>
  <si>
    <t>比重</t>
  </si>
  <si>
    <t>不可修改技能数</t>
  </si>
  <si>
    <t>可调整技能数</t>
  </si>
  <si>
    <t>是否可调</t>
  </si>
  <si>
    <t>如何提升？</t>
  </si>
  <si>
    <t>可调整</t>
  </si>
  <si>
    <t>腾空开启选择&amp;紫气三才次数选择</t>
  </si>
  <si>
    <t>三才厚亡次数</t>
  </si>
  <si>
    <t>万灵当歌版计算器移除标准技能数，
打不到计算器技能数欢迎加气纯群学习。</t>
  </si>
  <si>
    <t>CW模块(测试中240213更新，未加四象加伤)</t>
  </si>
  <si>
    <t>厚亡紫气触发</t>
  </si>
  <si>
    <t>帽子&amp;衣服大附魔
手动输入默认开启
配装器需要选择开启
←←←
←←←
←←←
有=1
无=0
←←←
←←←
←←←</t>
  </si>
  <si>
    <t>13950腰带大附魔</t>
  </si>
  <si>
    <t>水特效·12450</t>
  </si>
  <si>
    <t>特效腰坠·暮天阳</t>
  </si>
  <si>
    <t>奇穴·霜锋</t>
  </si>
  <si>
    <t>奇穴·心固</t>
  </si>
  <si>
    <t>分类</t>
  </si>
  <si>
    <t>名称</t>
  </si>
  <si>
    <t>判定</t>
  </si>
  <si>
    <t>根骨</t>
  </si>
  <si>
    <t>内伤</t>
  </si>
  <si>
    <t>伤害加成</t>
  </si>
  <si>
    <t>无视防御</t>
  </si>
  <si>
    <t>属性百分比加成</t>
  </si>
  <si>
    <t>断浪·咸骨粥(根骨382)</t>
  </si>
  <si>
    <t>断浪·老火骨汤(根骨191)</t>
  </si>
  <si>
    <t>断浪·酸菜鱼(会心1705)</t>
  </si>
  <si>
    <t>断浪·红烧排骨(破防1705)</t>
  </si>
  <si>
    <t>基础攻击加成</t>
  </si>
  <si>
    <t>断浪·白肉血肠(破招1705)</t>
  </si>
  <si>
    <t>断浪·灌汤包(内伤917)</t>
  </si>
  <si>
    <t>断浪·鱼香肉丝(会心853)</t>
  </si>
  <si>
    <t>断浪·水煮肉片(破防853)</t>
  </si>
  <si>
    <t>是否有内伤加成</t>
  </si>
  <si>
    <t>断浪·毛血旺(破招853)</t>
  </si>
  <si>
    <t>破防百分比加成</t>
  </si>
  <si>
    <t>断浪·鲜肉包子(内伤458)</t>
  </si>
  <si>
    <t>断浪·上品静心丸(根骨492)</t>
  </si>
  <si>
    <t>断浪·中品静心丸(根骨246)</t>
  </si>
  <si>
    <t>断浪·上品玉璃散(会心2192)</t>
  </si>
  <si>
    <t>断浪·上品破秽散(破防2192)</t>
  </si>
  <si>
    <t>断浪·上品凝神散(破招2192)</t>
  </si>
  <si>
    <t>断浪·上品展凤散(内伤1179)</t>
  </si>
  <si>
    <t>断浪·中品玉璃散(会心1096)</t>
  </si>
  <si>
    <t>断浪·中品破秽散(破防1096)</t>
  </si>
  <si>
    <t>断浪·中品凝神散(破招1096)</t>
  </si>
  <si>
    <t>断浪·中品展凤散(内伤589)</t>
  </si>
  <si>
    <t>高粱酒(根骨64)</t>
  </si>
  <si>
    <t>高粱酒·今朝醉(根骨128)</t>
  </si>
  <si>
    <t>高粱酒·六日醉(根骨192)</t>
  </si>
  <si>
    <t>高粱酒·旬又三(根骨256)</t>
  </si>
  <si>
    <t>小炒青菜(内伤384)</t>
  </si>
  <si>
    <t>炸鱼干(会心716)</t>
  </si>
  <si>
    <t>清蒸鲈鱼(破防716)</t>
  </si>
  <si>
    <t>煎豆腐(破招716)</t>
  </si>
  <si>
    <t>炖豆腐(无双716)</t>
  </si>
  <si>
    <t>创意食品·盛·内伤(1038)</t>
  </si>
  <si>
    <t>创意食品·盛·破招(1934)</t>
  </si>
  <si>
    <t>创意食品·盛·无双(1934)</t>
  </si>
  <si>
    <t>创意食品·盛·破防(1934)</t>
  </si>
  <si>
    <t>创意食品·盛·会心(1934)</t>
  </si>
  <si>
    <t>蒸鱼外食(无双517)</t>
  </si>
  <si>
    <t>帮会宴</t>
  </si>
  <si>
    <t>同泽宴(破招258|无双258)</t>
  </si>
  <si>
    <t>炼狱水煮鱼(破招100|无双100)</t>
  </si>
  <si>
    <t>百炼水煮鱼(破招400|无双400)</t>
  </si>
  <si>
    <t>断浪·二十四桥明月夜(内伤524|会心975|破招975)</t>
  </si>
  <si>
    <t>炼气·辅</t>
  </si>
  <si>
    <t>炼气·辅(根骨111)</t>
  </si>
  <si>
    <t>炼气·增</t>
  </si>
  <si>
    <t>炼气·增(内伤266)</t>
  </si>
  <si>
    <t>强身·辅</t>
  </si>
  <si>
    <t>强身·辅(根骨86)</t>
  </si>
  <si>
    <t>强身·增</t>
  </si>
  <si>
    <t>强身·增(内伤207)</t>
  </si>
  <si>
    <t>数值计算</t>
  </si>
  <si>
    <t>阵眼</t>
  </si>
  <si>
    <t>九宫八卦阵(气纯阵)自己开</t>
  </si>
  <si>
    <t>九宫八卦阵(气纯阵)别人开</t>
  </si>
  <si>
    <t>千机百变阵(田螺阵)</t>
  </si>
  <si>
    <t>万籁金弦阵(莫问阵)</t>
  </si>
  <si>
    <t>天鼓雷音阵(易筋阵)</t>
  </si>
  <si>
    <r>
      <rPr>
        <sz val="11"/>
        <color theme="1"/>
        <rFont val="宋体"/>
        <charset val="134"/>
      </rPr>
      <t>九音惊弦阵</t>
    </r>
    <r>
      <rPr>
        <sz val="11"/>
        <color rgb="FF3D454D"/>
        <rFont val="宋体"/>
        <charset val="134"/>
      </rPr>
      <t>(冰心阵)</t>
    </r>
  </si>
  <si>
    <t>七绝逍遥阵(花间阵)</t>
  </si>
  <si>
    <t>万蛊噬心阵(毒经阵)</t>
  </si>
  <si>
    <t>乱暮浊茵阵(无方阵)</t>
  </si>
  <si>
    <t>九星游年阵(衍天阵)</t>
  </si>
  <si>
    <t>炎威破魔阵(焚影阵)</t>
  </si>
  <si>
    <t>苍梧引灵阵(万灵阵)</t>
  </si>
  <si>
    <t>团队增益</t>
  </si>
  <si>
    <t>舍身弘法(36层)</t>
  </si>
  <si>
    <t>舍身弘法(24层)</t>
  </si>
  <si>
    <t>朝圣言(小)</t>
  </si>
  <si>
    <t>朝圣言(大)</t>
  </si>
  <si>
    <t>振奋(77层)</t>
  </si>
  <si>
    <t>振奋(72层)</t>
  </si>
  <si>
    <t>振奋(60层)</t>
  </si>
  <si>
    <t>左旋右转(120层)</t>
  </si>
  <si>
    <t>左旋右转(100层)</t>
  </si>
  <si>
    <t>左旋右转(80层)</t>
  </si>
  <si>
    <t>庄周梦(120层)</t>
  </si>
  <si>
    <t>庄周梦(100层)</t>
  </si>
  <si>
    <t>庄周梦(80层)</t>
  </si>
  <si>
    <t>固本</t>
  </si>
  <si>
    <t>厚亡</t>
  </si>
  <si>
    <t>常规</t>
  </si>
  <si>
    <t>特效</t>
  </si>
  <si>
    <t>气竭</t>
  </si>
  <si>
    <t>CW特效选择模式</t>
  </si>
  <si>
    <t>[手动模式]</t>
  </si>
  <si>
    <t>[自动]煤球局</t>
  </si>
  <si>
    <t>[自动]常规局</t>
  </si>
  <si>
    <t>[自动]阳寿局(万二会心感人)</t>
  </si>
  <si>
    <t>不开启</t>
  </si>
  <si>
    <t>[手动]</t>
  </si>
  <si>
    <t>煤球</t>
  </si>
  <si>
    <t>阳寿</t>
  </si>
  <si>
    <t>配装选择模式</t>
  </si>
  <si>
    <t>配装器模式</t>
  </si>
  <si>
    <t>技能数统计模式</t>
  </si>
  <si>
    <t>手动修改模式</t>
  </si>
  <si>
    <t>橙武一段加速技能标准值</t>
  </si>
  <si>
    <t>橙武二段加速技能标准值</t>
  </si>
  <si>
    <t>飞剑</t>
  </si>
  <si>
    <t>两仪</t>
  </si>
  <si>
    <t>四象</t>
  </si>
  <si>
    <t>紫武技能数标准值</t>
  </si>
  <si>
    <t>手动输入</t>
  </si>
  <si>
    <t>无</t>
  </si>
  <si>
    <t>15400帽子大附魔</t>
  </si>
  <si>
    <t>15400衣服大附魔</t>
  </si>
  <si>
    <t>15400护腕大附魔</t>
  </si>
  <si>
    <t>15400鞋子大附魔</t>
  </si>
  <si>
    <t>水特效·15600</t>
  </si>
  <si>
    <t>秋风韵·15600</t>
  </si>
  <si>
    <t>结果显示区域</t>
  </si>
  <si>
    <t>脸黑DPS统计</t>
  </si>
  <si>
    <t>手动输入紫气数量</t>
  </si>
  <si>
    <t>三才开启次数</t>
  </si>
  <si>
    <t>CW特效次数</t>
  </si>
  <si>
    <t>特效腰坠开启次数</t>
  </si>
  <si>
    <t>部位</t>
  </si>
  <si>
    <t>装备名称</t>
  </si>
  <si>
    <t>装备等级</t>
  </si>
  <si>
    <t>精炼等级</t>
  </si>
  <si>
    <t>显示名称</t>
  </si>
  <si>
    <t>3级精炼</t>
  </si>
  <si>
    <t>4级精炼</t>
  </si>
  <si>
    <t>6级精炼</t>
  </si>
  <si>
    <t>8级精炼</t>
  </si>
  <si>
    <t>根骨精炼</t>
  </si>
  <si>
    <t>攻击</t>
  </si>
  <si>
    <t>攻击精炼</t>
  </si>
  <si>
    <t>会心精炼</t>
  </si>
  <si>
    <t>会效精炼</t>
  </si>
  <si>
    <t>破防精炼</t>
  </si>
  <si>
    <t>破招精炼</t>
  </si>
  <si>
    <t>无双精炼</t>
  </si>
  <si>
    <t>加速</t>
  </si>
  <si>
    <t>武器伤害</t>
  </si>
  <si>
    <t>武器伤害2</t>
  </si>
  <si>
    <t>根骨孔</t>
  </si>
  <si>
    <t>攻击孔</t>
  </si>
  <si>
    <t>会心孔</t>
  </si>
  <si>
    <t>会效孔</t>
  </si>
  <si>
    <t>破防孔</t>
  </si>
  <si>
    <t>破招孔</t>
  </si>
  <si>
    <t>无双孔</t>
  </si>
  <si>
    <t>生存类孔</t>
  </si>
  <si>
    <t>小切</t>
  </si>
  <si>
    <t>大切</t>
  </si>
  <si>
    <t>12450四件套</t>
  </si>
  <si>
    <t>13950四件套</t>
  </si>
  <si>
    <t>水特效</t>
  </si>
  <si>
    <t>特效腰坠</t>
  </si>
  <si>
    <t>简称</t>
  </si>
  <si>
    <t>最大可精炼等级</t>
  </si>
  <si>
    <t>装备来源</t>
  </si>
  <si>
    <t>PVE装备</t>
  </si>
  <si>
    <t>孔1</t>
  </si>
  <si>
    <t>孔2</t>
  </si>
  <si>
    <t>孔3</t>
  </si>
  <si>
    <t>体质</t>
  </si>
  <si>
    <t>体质孔</t>
  </si>
  <si>
    <t>最大气血值</t>
  </si>
  <si>
    <t>每秒气血回复</t>
  </si>
  <si>
    <t>扬英囊</t>
  </si>
  <si>
    <t>扬英囊(13950速招)</t>
  </si>
  <si>
    <t>速招</t>
  </si>
  <si>
    <t>副本</t>
  </si>
  <si>
    <t/>
  </si>
  <si>
    <t>atVitalityBase</t>
  </si>
  <si>
    <t>atSpiritBase</t>
  </si>
  <si>
    <t>atMagicAttackPowerBase</t>
  </si>
  <si>
    <t>atMagicOvercome</t>
  </si>
  <si>
    <t>atSurplusValueBase</t>
  </si>
  <si>
    <t>atInvalid</t>
  </si>
  <si>
    <t>atLifeReplenishExt</t>
  </si>
  <si>
    <t>声望</t>
  </si>
  <si>
    <t>寒绡囊</t>
  </si>
  <si>
    <t>会无</t>
  </si>
  <si>
    <t>atMagicCriticalStrike</t>
  </si>
  <si>
    <t>atStrainBase</t>
  </si>
  <si>
    <t>atMaxLifeAdditional</t>
  </si>
  <si>
    <t>枝绫囊</t>
  </si>
  <si>
    <t>招破</t>
  </si>
  <si>
    <t>泉合囊</t>
  </si>
  <si>
    <t>泉合囊(13950会招)</t>
  </si>
  <si>
    <t>会招</t>
  </si>
  <si>
    <t>世界BOSS</t>
  </si>
  <si>
    <t>无封囊</t>
  </si>
  <si>
    <t>无封囊(13550精简攻会)</t>
  </si>
  <si>
    <t>精简攻会</t>
  </si>
  <si>
    <t>活动</t>
  </si>
  <si>
    <t>无封囊(13550精简攻招破)</t>
  </si>
  <si>
    <t>精简攻招破</t>
  </si>
  <si>
    <t>无封囊(13550精简攻会招破)</t>
  </si>
  <si>
    <t>精简攻会招破</t>
  </si>
  <si>
    <t>无封囊(12800精简攻破)</t>
  </si>
  <si>
    <t>精简攻破</t>
  </si>
  <si>
    <t>无封囊(12800精简攻会会)</t>
  </si>
  <si>
    <t>精简攻会会</t>
  </si>
  <si>
    <t>无封囊(12800精简攻会会招)</t>
  </si>
  <si>
    <t>精简攻会会招</t>
  </si>
  <si>
    <t>碧月囊</t>
  </si>
  <si>
    <t>碧月囊(12600破无)</t>
  </si>
  <si>
    <t>破无</t>
  </si>
  <si>
    <t>atAllTypeCriticalStrike</t>
  </si>
  <si>
    <t>池泓囊</t>
  </si>
  <si>
    <t>池泓囊(12450速招)</t>
  </si>
  <si>
    <t>atAllTypeCriticalDamagePowerBase</t>
  </si>
  <si>
    <t>朝华囊</t>
  </si>
  <si>
    <t>朝华囊(12450会无)</t>
  </si>
  <si>
    <t>溪柔囊</t>
  </si>
  <si>
    <t>溪柔囊(12450招破)</t>
  </si>
  <si>
    <t>湖寂囊</t>
  </si>
  <si>
    <t>湖寂囊(12450会招)</t>
  </si>
  <si>
    <t>西风北啸·音书囊</t>
  </si>
  <si>
    <t>西风北啸·音书囊(12450会无)</t>
  </si>
  <si>
    <t>飞沙令</t>
  </si>
  <si>
    <t>Roguelike浪客行外围商店</t>
  </si>
  <si>
    <t>风轻袖</t>
  </si>
  <si>
    <t>风轻袖(14150招破)</t>
  </si>
  <si>
    <t>生活技能</t>
  </si>
  <si>
    <t>扬英护手</t>
  </si>
  <si>
    <t>扬英护手(13950会无)</t>
  </si>
  <si>
    <t>寒绡护手</t>
  </si>
  <si>
    <t>寒绡护手(13950破无)</t>
  </si>
  <si>
    <t>雨杨护腕</t>
  </si>
  <si>
    <t>雨杨护腕(13950精简攻会)</t>
  </si>
  <si>
    <t>言寓护腕</t>
  </si>
  <si>
    <t>言寓护腕(13950精简攻破无)</t>
  </si>
  <si>
    <t>精简攻破无</t>
  </si>
  <si>
    <t>淮泽护腕</t>
  </si>
  <si>
    <t>精简攻会会破</t>
  </si>
  <si>
    <t>双河护腕</t>
  </si>
  <si>
    <t>双河护腕(13950精简攻会招破)</t>
  </si>
  <si>
    <t>雪遥护臂</t>
  </si>
  <si>
    <t>雪遥护臂(13950精简体攻无)</t>
  </si>
  <si>
    <t>精简体攻无</t>
  </si>
  <si>
    <t>松辉护臂</t>
  </si>
  <si>
    <t>精简体攻招破</t>
  </si>
  <si>
    <t>客行江湖·意悠护手</t>
  </si>
  <si>
    <t>客行江湖·意悠护手(13950招破)</t>
  </si>
  <si>
    <t>浪客笺</t>
  </si>
  <si>
    <t>泉合护手</t>
  </si>
  <si>
    <t>泉合护手(13950会招)</t>
  </si>
  <si>
    <t>【门派套装】灵源·期颐护手</t>
  </si>
  <si>
    <t>【门派套装】灵源·期颐护手(13750会招)</t>
  </si>
  <si>
    <t>兑换牌</t>
  </si>
  <si>
    <t>无封护臂</t>
  </si>
  <si>
    <t>无封护臂(13550精简攻破)</t>
  </si>
  <si>
    <t>无封护臂(13550精简攻会会)</t>
  </si>
  <si>
    <t>无封护臂(13550精简攻会会招)</t>
  </si>
  <si>
    <t>无封护臂(12800精简攻会)</t>
  </si>
  <si>
    <t>无封护臂(12800精简攻会破)</t>
  </si>
  <si>
    <t>精简攻会破</t>
  </si>
  <si>
    <t>无封护臂(12800精简攻会会破)</t>
  </si>
  <si>
    <t>雪满袖</t>
  </si>
  <si>
    <t>雪满袖(12600招破)</t>
  </si>
  <si>
    <t>池泓护手</t>
  </si>
  <si>
    <t>池泓护手(12450会无)</t>
  </si>
  <si>
    <t>朝华护手</t>
  </si>
  <si>
    <t>朝华护手(12450破无)</t>
  </si>
  <si>
    <t>狂耳护腕</t>
  </si>
  <si>
    <t>狂耳护腕(12450精简体攻招破)</t>
  </si>
  <si>
    <t>风重护腕</t>
  </si>
  <si>
    <t>风重护腕(12450精简体攻破无)</t>
  </si>
  <si>
    <t>精简体攻破无</t>
  </si>
  <si>
    <t>维则护腕</t>
  </si>
  <si>
    <t>维则护腕(12450精简体攻会无)</t>
  </si>
  <si>
    <t>精简体攻会无</t>
  </si>
  <si>
    <t>熠羽护腕</t>
  </si>
  <si>
    <t>熠羽护腕(12450精简体攻招)</t>
  </si>
  <si>
    <t>精简体攻招</t>
  </si>
  <si>
    <t>客行江湖·渐浓护手</t>
  </si>
  <si>
    <t>客行江湖·渐浓护手(12450招破)</t>
  </si>
  <si>
    <t>野外boss</t>
  </si>
  <si>
    <t>湖寂护手</t>
  </si>
  <si>
    <t>湖寂护手(12450会招)</t>
  </si>
  <si>
    <t>西风北啸·音书护手</t>
  </si>
  <si>
    <t>西风北啸·音书护手(12450会招)</t>
  </si>
  <si>
    <t>【门派套装】濯心·归心护手</t>
  </si>
  <si>
    <t>【门派套装】濯心·归心护手(12300会招)</t>
  </si>
  <si>
    <t>扬英指环</t>
  </si>
  <si>
    <t>寒绡戒</t>
  </si>
  <si>
    <t>丹莲戒</t>
  </si>
  <si>
    <t>丹莲戒(13950精简攻无)</t>
  </si>
  <si>
    <t>精简攻无</t>
  </si>
  <si>
    <t>羽容戒</t>
  </si>
  <si>
    <t>羽容戒(13950精简攻会破)</t>
  </si>
  <si>
    <t>希延戒</t>
  </si>
  <si>
    <t>atMagicCriticalDamagePowerBase</t>
  </si>
  <si>
    <t>峻水戒</t>
  </si>
  <si>
    <t>峻水戒(13950精简攻破无)</t>
  </si>
  <si>
    <t>丰冉戒</t>
  </si>
  <si>
    <t>丰冉戒(13950精简体攻会无)</t>
  </si>
  <si>
    <t>璨云戒</t>
  </si>
  <si>
    <t>璨云戒(13950精简体攻招破)</t>
  </si>
  <si>
    <t>客行江湖·意悠戒</t>
  </si>
  <si>
    <t>客行江湖·意悠戒(13950破无)</t>
  </si>
  <si>
    <t>池泓指环</t>
  </si>
  <si>
    <t>池泓指环(12450招破)</t>
  </si>
  <si>
    <t>朝华戒</t>
  </si>
  <si>
    <t>朝华戒(12450会无)</t>
  </si>
  <si>
    <t>昭月戒</t>
  </si>
  <si>
    <t>昭月戒(12450精简体攻无)</t>
  </si>
  <si>
    <t>atHasteBase</t>
  </si>
  <si>
    <t>清斗戒</t>
  </si>
  <si>
    <t>清斗戒(12450精简体攻招破)</t>
  </si>
  <si>
    <t>帘絮戒</t>
  </si>
  <si>
    <t>帘絮戒(12450精简体攻会无)</t>
  </si>
  <si>
    <t>解怜戒</t>
  </si>
  <si>
    <t>解怜戒(12450精简体攻破无)</t>
  </si>
  <si>
    <t>客行江湖·渐浓戒</t>
  </si>
  <si>
    <t>客行江湖·渐浓戒(12450破无)</t>
  </si>
  <si>
    <t>湖寂戒</t>
  </si>
  <si>
    <t>湖寂戒(12450会招)</t>
  </si>
  <si>
    <t>风轻裤</t>
  </si>
  <si>
    <t>风轻裤(14150会无)</t>
  </si>
  <si>
    <t>扬英裤</t>
  </si>
  <si>
    <t>扬英裤(13950速无)</t>
  </si>
  <si>
    <t>速无</t>
  </si>
  <si>
    <t>寒绡裤</t>
  </si>
  <si>
    <t>寒绡裤(13950招破)</t>
  </si>
  <si>
    <t>雅采裤</t>
  </si>
  <si>
    <t>雅采裤(13950精简攻破)</t>
  </si>
  <si>
    <t>漫泠裤</t>
  </si>
  <si>
    <t>漫泠裤(13950精简攻会招)</t>
  </si>
  <si>
    <t>精简攻会招</t>
  </si>
  <si>
    <t>南依裤</t>
  </si>
  <si>
    <t>精简攻招破无</t>
  </si>
  <si>
    <t>韶于裤</t>
  </si>
  <si>
    <t>韶于裤(13950精简攻会破无)</t>
  </si>
  <si>
    <t>精简攻会破无</t>
  </si>
  <si>
    <t>朝户裤</t>
  </si>
  <si>
    <t>朝户裤(13950精简体攻无)</t>
  </si>
  <si>
    <t>语瞳裤</t>
  </si>
  <si>
    <t>语瞳裤(13950精简体攻会无)</t>
  </si>
  <si>
    <t>客行江湖·意悠下裳</t>
  </si>
  <si>
    <t>客行江湖·意悠下裳(13950破无)</t>
  </si>
  <si>
    <t>泉合裤</t>
  </si>
  <si>
    <t>泉合裤(13950会招)</t>
  </si>
  <si>
    <t>无封裤</t>
  </si>
  <si>
    <t>无封裤(13550精简攻无)</t>
  </si>
  <si>
    <t>无封裤(13550精简攻会无)</t>
  </si>
  <si>
    <t>精简攻会无</t>
  </si>
  <si>
    <t>无封裤(13550精简攻招破无)</t>
  </si>
  <si>
    <t>无封裤(12800精简攻破)</t>
  </si>
  <si>
    <t>无封裤(12800精简攻招无)</t>
  </si>
  <si>
    <t>精简攻招无</t>
  </si>
  <si>
    <t>无封裤(12800精简攻会破无)</t>
  </si>
  <si>
    <t>雪满裤</t>
  </si>
  <si>
    <t>雪满裤(12600会无)</t>
  </si>
  <si>
    <t>池泓裤</t>
  </si>
  <si>
    <t>池泓裤(12450速无)</t>
  </si>
  <si>
    <t>朝华裤</t>
  </si>
  <si>
    <t>朝华裤(12450招破)</t>
  </si>
  <si>
    <t>执徐裤</t>
  </si>
  <si>
    <t>执徐裤(12450精简体攻会无)</t>
  </si>
  <si>
    <t>晤歌裤</t>
  </si>
  <si>
    <t>晤歌裤(12450精简体攻招破)</t>
  </si>
  <si>
    <t>贻池裤</t>
  </si>
  <si>
    <t>贻池裤(12450精简体攻招)</t>
  </si>
  <si>
    <t>绣思裤</t>
  </si>
  <si>
    <t>绣思裤(12450精简体攻破无)</t>
  </si>
  <si>
    <t>客行江湖·渐浓下裳</t>
  </si>
  <si>
    <t>客行江湖·渐浓下裳(12450破无)</t>
  </si>
  <si>
    <t>湖寂裤</t>
  </si>
  <si>
    <t>湖寂裤(12450会招)</t>
  </si>
  <si>
    <t>西风北啸·音书裤</t>
  </si>
  <si>
    <t>西风北啸·音书裤(12450招破)</t>
  </si>
  <si>
    <t>风轻冠</t>
  </si>
  <si>
    <t>风轻冠(14150会招)</t>
  </si>
  <si>
    <t>扬英冠</t>
  </si>
  <si>
    <t>扬英冠(13950会无)</t>
  </si>
  <si>
    <t>atNeutralAttackPowerBase</t>
  </si>
  <si>
    <t>atNeutralCriticalStrike</t>
  </si>
  <si>
    <t>道具换取</t>
  </si>
  <si>
    <t>寒绡冠</t>
  </si>
  <si>
    <t>寒绡冠(13950速招)</t>
  </si>
  <si>
    <t>客行江湖·意悠冠</t>
  </si>
  <si>
    <t>客行江湖·意悠冠(13950会招)</t>
  </si>
  <si>
    <t>atNeutralOvercomeBase</t>
  </si>
  <si>
    <t>泉合冠</t>
  </si>
  <si>
    <t>泉合冠(13950会招)</t>
  </si>
  <si>
    <t>【门派套装】灵源·期颐冠</t>
  </si>
  <si>
    <t>atNeutralCriticalDamagePowerBase</t>
  </si>
  <si>
    <t>无封头饰</t>
  </si>
  <si>
    <t>无封头饰(13550精简攻会)</t>
  </si>
  <si>
    <t>无封头饰(13550精简攻会招)</t>
  </si>
  <si>
    <t>无封头饰(13550精简攻会破无)</t>
  </si>
  <si>
    <t>无封头饰(12800精简攻无)</t>
  </si>
  <si>
    <t>无封头饰(12800精简攻会无)</t>
  </si>
  <si>
    <t>无封头饰(12800精简攻会招破)</t>
  </si>
  <si>
    <t>雪满冠</t>
  </si>
  <si>
    <t>雪满冠(12600会招)</t>
  </si>
  <si>
    <t>池泓冠</t>
  </si>
  <si>
    <t>池泓冠(12450会无)</t>
  </si>
  <si>
    <t>朝华冠</t>
  </si>
  <si>
    <t>朝华冠(12450速招)</t>
  </si>
  <si>
    <t>客行江湖·渐浓冠</t>
  </si>
  <si>
    <t>客行江湖·渐浓冠(12450会招)</t>
  </si>
  <si>
    <t>湖寂冠</t>
  </si>
  <si>
    <t>湖寂冠(12450会招)</t>
  </si>
  <si>
    <t>西风北啸·音书冠</t>
  </si>
  <si>
    <t>西风北啸·音书冠(12450会无)</t>
  </si>
  <si>
    <t>【门派套装】濯心·归心冠</t>
  </si>
  <si>
    <t>【门派套装】濯心·归心冠(12300招破)</t>
  </si>
  <si>
    <t>上衣</t>
  </si>
  <si>
    <t>风轻衣</t>
  </si>
  <si>
    <t>风轻衣(14150破无)</t>
  </si>
  <si>
    <t>扬英衫</t>
  </si>
  <si>
    <t>扬英衫(13950招破)</t>
  </si>
  <si>
    <t>寒绡衣</t>
  </si>
  <si>
    <t>寒绡衣(13950会招)</t>
  </si>
  <si>
    <t>泉合衣</t>
  </si>
  <si>
    <t>泉合衣(13950会无)</t>
  </si>
  <si>
    <t>【门派套装】灵源·期颐衣</t>
  </si>
  <si>
    <t>雪满衣</t>
  </si>
  <si>
    <t>雪满衣(12600破无)</t>
  </si>
  <si>
    <t>池泓衫</t>
  </si>
  <si>
    <t>池泓衫(12450招破)</t>
  </si>
  <si>
    <t>朝华衣</t>
  </si>
  <si>
    <t>朝华衣(12450会招)</t>
  </si>
  <si>
    <t>湖寂衣</t>
  </si>
  <si>
    <t>湖寂衣(12450会无)</t>
  </si>
  <si>
    <t>西风北啸·音书衣</t>
  </si>
  <si>
    <t>西风北啸·音书衣(12450招破)</t>
  </si>
  <si>
    <t>【门派套装】濯心·归心衣</t>
  </si>
  <si>
    <t>【门派套装】濯心·归心衣(12300会无)</t>
  </si>
  <si>
    <t>寒霖链</t>
  </si>
  <si>
    <t>扬英链</t>
  </si>
  <si>
    <t>扬英链(13950破无)</t>
  </si>
  <si>
    <t>寒绡链</t>
  </si>
  <si>
    <t>寒绡链(13950会无)</t>
  </si>
  <si>
    <t>无封项链</t>
  </si>
  <si>
    <t>无封项链(13550精简攻无)</t>
  </si>
  <si>
    <t>无封项链(13550精简攻破无)</t>
  </si>
  <si>
    <t>无封项链(13550精简攻会招无)</t>
  </si>
  <si>
    <t>精简攻会招无</t>
  </si>
  <si>
    <t>寒霖链(13300招破)</t>
  </si>
  <si>
    <t>无封项链(12800精简攻破)</t>
  </si>
  <si>
    <t>无封项链(12800精简攻会招)</t>
  </si>
  <si>
    <t>无封项链(12800精简攻招破无)</t>
  </si>
  <si>
    <t>游零链</t>
  </si>
  <si>
    <t>游零链(12600招破)</t>
  </si>
  <si>
    <t>池泓链</t>
  </si>
  <si>
    <t>池泓链(12450破无)</t>
  </si>
  <si>
    <t>朝华链</t>
  </si>
  <si>
    <t>朝华链(12450会无)</t>
  </si>
  <si>
    <t>湖寂链</t>
  </si>
  <si>
    <t>湖寂链(12450会招)</t>
  </si>
  <si>
    <t>寒霖链(12450招破)</t>
  </si>
  <si>
    <t>风轻靴</t>
  </si>
  <si>
    <t>风轻靴(14150招破)</t>
  </si>
  <si>
    <t>扬英靴</t>
  </si>
  <si>
    <t>扬英靴(13950速招)</t>
  </si>
  <si>
    <t>寒绡靴</t>
  </si>
  <si>
    <t>寒绡靴(13950会无)</t>
  </si>
  <si>
    <t>泉合靴</t>
  </si>
  <si>
    <t>泉合靴(13950会招)</t>
  </si>
  <si>
    <t>【门派套装】灵源·期颐靴</t>
  </si>
  <si>
    <t>无封鞋</t>
  </si>
  <si>
    <t>无封鞋(13550精简攻破)</t>
  </si>
  <si>
    <t>无封鞋(13550精简攻招无)</t>
  </si>
  <si>
    <t>无封鞋(13550精简攻会会无)</t>
  </si>
  <si>
    <t>精简攻会会无</t>
  </si>
  <si>
    <t>无封鞋(12800精简攻无)</t>
  </si>
  <si>
    <t>无封鞋(12800精简攻破无)</t>
  </si>
  <si>
    <t>无封鞋(12800精简攻会招无)</t>
  </si>
  <si>
    <t>雪满靴</t>
  </si>
  <si>
    <t>雪满靴(12600招破)</t>
  </si>
  <si>
    <t>池泓靴</t>
  </si>
  <si>
    <t>池泓靴(12450速招)</t>
  </si>
  <si>
    <t>朝华靴</t>
  </si>
  <si>
    <t>朝华靴(12450会无)</t>
  </si>
  <si>
    <t>湖寂靴</t>
  </si>
  <si>
    <t>湖寂靴(12450会招)</t>
  </si>
  <si>
    <t>西风北啸·音书靴</t>
  </si>
  <si>
    <t>西风北啸·音书靴(12450会无)</t>
  </si>
  <si>
    <t>【门派套装】濯心·归心靴</t>
  </si>
  <si>
    <t>【门派套装】濯心·归心靴(12300破无)</t>
  </si>
  <si>
    <t>风轻腰带</t>
  </si>
  <si>
    <t>风轻腰带(14150会招)</t>
  </si>
  <si>
    <t>龙门寻宝商店</t>
  </si>
  <si>
    <t>扬英腰带</t>
  </si>
  <si>
    <t>扬英腰带(13950破无)</t>
  </si>
  <si>
    <t>寒绡带</t>
  </si>
  <si>
    <t>寒绡带(13950速招)</t>
  </si>
  <si>
    <t>挽星腰带</t>
  </si>
  <si>
    <t>挽星腰带(13950精简攻会)</t>
  </si>
  <si>
    <t>芜云腰带</t>
  </si>
  <si>
    <t>芜云腰带(13950精简攻招破)</t>
  </si>
  <si>
    <t>东珞腰带</t>
  </si>
  <si>
    <t>东珞腰带(13950精简攻会招无)</t>
  </si>
  <si>
    <t>书鸢腰带</t>
  </si>
  <si>
    <t>书鸢腰带(13950精简攻无)</t>
  </si>
  <si>
    <t>楼满束腰</t>
  </si>
  <si>
    <t>楼满束腰(13950精简体攻破无)</t>
  </si>
  <si>
    <t>atAddSprintPowerRevive</t>
  </si>
  <si>
    <t>atDropDefence</t>
  </si>
  <si>
    <t>舒念束腰</t>
  </si>
  <si>
    <t>舒念束腰(13950精简体攻招无)</t>
  </si>
  <si>
    <t>精简体攻招无</t>
  </si>
  <si>
    <t>泉合腰带</t>
  </si>
  <si>
    <t>泉合腰带(13950会招)</t>
  </si>
  <si>
    <t>【门派套装】灵源·期颐腰带</t>
  </si>
  <si>
    <t>雪满腰带</t>
  </si>
  <si>
    <t>雪满腰带(12600会招)</t>
  </si>
  <si>
    <t>碧月腰带</t>
  </si>
  <si>
    <t>碧月腰带(12600招破)</t>
  </si>
  <si>
    <t>池泓腰带</t>
  </si>
  <si>
    <t>池泓腰带(12450破无)</t>
  </si>
  <si>
    <t>朝华带</t>
  </si>
  <si>
    <t>朝华带(12450速招)</t>
  </si>
  <si>
    <t>栗烈腰带</t>
  </si>
  <si>
    <t>栗烈腰带(12450精简体攻无)</t>
  </si>
  <si>
    <t>百汩腰带</t>
  </si>
  <si>
    <t>百汩腰带(12450精简体攻招破)</t>
  </si>
  <si>
    <t>鸿北腰带</t>
  </si>
  <si>
    <t>鸿北腰带(12450精简体攻会无)</t>
  </si>
  <si>
    <t>寸碧腰带</t>
  </si>
  <si>
    <t>寸碧腰带(12450精简体攻破无)</t>
  </si>
  <si>
    <t>湖寂腰带</t>
  </si>
  <si>
    <t>湖寂腰带(12450会招)</t>
  </si>
  <si>
    <t>西风北啸·音书腰带</t>
  </si>
  <si>
    <t>西风北啸·音书腰带(12450招破)</t>
  </si>
  <si>
    <t>【门派套装】濯心·归心腰带</t>
  </si>
  <si>
    <t>【门派套装】濯心·归心腰带(12300会无)</t>
  </si>
  <si>
    <t>寒霖坠</t>
  </si>
  <si>
    <t>寒霖坠(14150会无)</t>
  </si>
  <si>
    <t>扬英坠</t>
  </si>
  <si>
    <t>扬英坠(13950招破)</t>
  </si>
  <si>
    <t>寒绡坠</t>
  </si>
  <si>
    <t>寒绡坠(13950会招)</t>
  </si>
  <si>
    <t>池上雨</t>
  </si>
  <si>
    <t>特效破无</t>
  </si>
  <si>
    <t>无封腰坠</t>
  </si>
  <si>
    <t>无封腰坠(13550精简攻会)</t>
  </si>
  <si>
    <t>无封腰坠(13550精简攻会破)</t>
  </si>
  <si>
    <t>atSkillEventHandler</t>
  </si>
  <si>
    <t>无封腰坠(13550精简攻会会破)</t>
  </si>
  <si>
    <t>寒霖坠(13300会无)</t>
  </si>
  <si>
    <t>无封腰坠(12800精简攻无)</t>
  </si>
  <si>
    <t>无封腰坠(12800精简攻招破)</t>
  </si>
  <si>
    <t>无封腰坠(12800精简攻会会无)</t>
  </si>
  <si>
    <t>游零坠</t>
  </si>
  <si>
    <t>游零坠(12600会无)</t>
  </si>
  <si>
    <t>池泓坠</t>
  </si>
  <si>
    <t>池泓坠(12450招破)</t>
  </si>
  <si>
    <t>朝华坠</t>
  </si>
  <si>
    <t>朝华坠(12450会招)</t>
  </si>
  <si>
    <t>暮天阳</t>
  </si>
  <si>
    <t>暮天阳(12450特效破无)</t>
  </si>
  <si>
    <t>湖寂坠</t>
  </si>
  <si>
    <t>湖寂坠(12450会招)</t>
  </si>
  <si>
    <t>寒霖坠(12450会无)</t>
  </si>
  <si>
    <t>短兵</t>
  </si>
  <si>
    <t>自化乾坤</t>
  </si>
  <si>
    <t>自化乾坤(14150会招)</t>
  </si>
  <si>
    <t>明然剑</t>
  </si>
  <si>
    <t>明然剑(13950会无)</t>
  </si>
  <si>
    <t>伴雪声</t>
  </si>
  <si>
    <t>松风吹雨</t>
  </si>
  <si>
    <t>松风吹雨(13950招破)</t>
  </si>
  <si>
    <t>照金沙</t>
  </si>
  <si>
    <t>照金沙(12600会招)</t>
  </si>
  <si>
    <t>浮尘世</t>
  </si>
  <si>
    <t>浮尘世(12450会无)</t>
  </si>
  <si>
    <t>岁载空</t>
  </si>
  <si>
    <t>岁载空(12450特效破无)</t>
  </si>
  <si>
    <t>atDivingFrameBase</t>
  </si>
  <si>
    <t>atAddSprintPowerMax</t>
  </si>
  <si>
    <t>atAddHorseSprintPowerMax</t>
  </si>
  <si>
    <t>道无尽</t>
  </si>
  <si>
    <t>道无尽(12450招破)</t>
  </si>
  <si>
    <t>西风北啸·希夷</t>
  </si>
  <si>
    <t>西风北啸·希夷(12450破无)</t>
  </si>
  <si>
    <t>苍冥游</t>
  </si>
  <si>
    <t>苍冥游(11300大橙武)</t>
  </si>
  <si>
    <t>大橙武</t>
  </si>
  <si>
    <t>任务</t>
  </si>
  <si>
    <t>atSetEquipmentRecipe</t>
  </si>
  <si>
    <t>苍冥游(10800大橙武)</t>
  </si>
  <si>
    <t>苍冥游(10300大橙武)</t>
  </si>
  <si>
    <t>愧琼瑰·珠沉</t>
  </si>
  <si>
    <t>愧琼瑰·珠沉(10900小橙武)</t>
  </si>
  <si>
    <t>愧琼瑰·珠沉(10300小橙武)</t>
  </si>
  <si>
    <t>愧琼瑰·珠沉(9700小橙武)</t>
  </si>
  <si>
    <t>愧琼瑰·珠沉(9100小橙武)</t>
  </si>
  <si>
    <t>愧琼瑰·珠沉(8500小橙武)</t>
  </si>
  <si>
    <t>彩·融天·混沌·霹雳(陆)(会破会)</t>
  </si>
  <si>
    <t>彩·灵根·混沌·霹雳(陆)(根破会)</t>
  </si>
  <si>
    <t>彩·无双·混沌·霹雳(陆)(无破会)</t>
  </si>
  <si>
    <t>彩·破招·雷鸣·霹雳(陆)(招攻会)</t>
  </si>
  <si>
    <t>彩·融天·雷鸣·霹雳(陆)(会攻会)</t>
  </si>
  <si>
    <t>彩·灵根·雷鸣·霹雳(陆)(根攻会)</t>
  </si>
  <si>
    <t>彩·无双·雷鸣·霹雳(陆)(无攻会)</t>
  </si>
  <si>
    <t>彩·破招·混沌·霹雳(伍)(招破会)</t>
  </si>
  <si>
    <t>彩·融天·混沌·霹雳(伍)(会破会)</t>
  </si>
  <si>
    <t>彩·灵根·混沌·霹雳(伍)(根破会)</t>
  </si>
  <si>
    <t>彩·无双·混沌·霹雳(伍)(无破会)</t>
  </si>
  <si>
    <t>彩·破招·雷鸣·霹雳(伍)(招攻会)</t>
  </si>
  <si>
    <t>彩·融天·雷鸣·霹雳(伍)(会攻会)</t>
  </si>
  <si>
    <t>彩·灵根·雷鸣·霹雳(伍)(根攻会)</t>
  </si>
  <si>
    <t>彩·无双·雷鸣·霹雳(伍)(无攻会)</t>
  </si>
  <si>
    <t>小附魔</t>
  </si>
  <si>
    <t>头部</t>
  </si>
  <si>
    <t>破招[487]</t>
  </si>
  <si>
    <t>内攻[262]</t>
  </si>
  <si>
    <t>无双[174]</t>
  </si>
  <si>
    <t>无双[487]</t>
  </si>
  <si>
    <t>内破[974]</t>
  </si>
  <si>
    <t>内破[487]</t>
  </si>
  <si>
    <t>会心[974]</t>
  </si>
  <si>
    <t>会心[487]</t>
  </si>
  <si>
    <t>根骨[218]</t>
  </si>
  <si>
    <t>根骨[109]</t>
  </si>
  <si>
    <t>体质[262]</t>
  </si>
  <si>
    <t>破防[974]</t>
  </si>
  <si>
    <t>镶嵌孔属性统计</t>
  </si>
  <si>
    <t>12450水特效</t>
  </si>
  <si>
    <t>12450特效腰坠</t>
  </si>
  <si>
    <t>最终属性统计</t>
  </si>
  <si>
    <t>两件套效果</t>
  </si>
  <si>
    <t>13950水特效</t>
  </si>
  <si>
    <t>13905特效腰坠</t>
  </si>
  <si>
    <t>面板攻击</t>
  </si>
  <si>
    <t>四件套效果</t>
  </si>
  <si>
    <t>最终计算</t>
  </si>
  <si>
    <t>六级</t>
  </si>
  <si>
    <t>六级镶嵌</t>
  </si>
  <si>
    <t>七级</t>
  </si>
  <si>
    <t>七级镶嵌</t>
  </si>
  <si>
    <t>八级镶嵌</t>
  </si>
  <si>
    <t>8级装备 1.124</t>
  </si>
  <si>
    <t>6级装备 1.075</t>
  </si>
  <si>
    <t>4级装备 1.038</t>
  </si>
  <si>
    <t>3级装备 1.024</t>
  </si>
  <si>
    <t>8级装备 1.12407</t>
  </si>
  <si>
    <t>6级装备 1.07524</t>
  </si>
  <si>
    <t>4级装备 1.03805</t>
  </si>
  <si>
    <t>3级装备 1.02412</t>
  </si>
  <si>
    <t>基础伤害</t>
  </si>
  <si>
    <t>基础攻击力</t>
  </si>
  <si>
    <t>攻击系数</t>
  </si>
  <si>
    <t>技改系数</t>
  </si>
  <si>
    <t>秘籍加成</t>
  </si>
  <si>
    <t>奇穴加成</t>
  </si>
  <si>
    <t>非侠加成</t>
  </si>
  <si>
    <t>破防值</t>
  </si>
  <si>
    <t>腰坠破防加成</t>
  </si>
  <si>
    <t>防御值</t>
  </si>
  <si>
    <t>等级压制</t>
  </si>
  <si>
    <t>奇穴会心加成</t>
  </si>
  <si>
    <t>常规最终会心</t>
  </si>
  <si>
    <t>紫气会心加成</t>
  </si>
  <si>
    <t>紫气最终会心</t>
  </si>
  <si>
    <t>奇穴会效加成</t>
  </si>
  <si>
    <t>常规最终会效</t>
  </si>
  <si>
    <t>厚亡会效加成</t>
  </si>
  <si>
    <t>厚亡最终会效</t>
  </si>
  <si>
    <t>紫气会效加成</t>
  </si>
  <si>
    <t>紫气最终会效</t>
  </si>
  <si>
    <t>会神会效加成</t>
  </si>
  <si>
    <t>会神紫气最终会效</t>
  </si>
  <si>
    <t>正常伤害</t>
  </si>
  <si>
    <t>固本紫气伤害</t>
  </si>
  <si>
    <t>腰坠紫气伤害(破+紫)</t>
  </si>
  <si>
    <t>会心伤害(破)</t>
  </si>
  <si>
    <t>会心伤害(破+紫)</t>
  </si>
  <si>
    <t>会心腰坠紫气伤害(破+紫)</t>
  </si>
  <si>
    <t>厚亡紫气伤害</t>
  </si>
  <si>
    <t>厚亡会心伤害</t>
  </si>
  <si>
    <t>厚望腰坠紫气</t>
  </si>
  <si>
    <t>厚望腰坠紫气会心</t>
  </si>
  <si>
    <t>会心伤害(破+紫+会神)</t>
  </si>
  <si>
    <t>会心伤害(破+紫+腰坠+会神)</t>
  </si>
  <si>
    <t>万世二段</t>
  </si>
  <si>
    <t>飞剑1</t>
  </si>
  <si>
    <t>飞剑2</t>
  </si>
  <si>
    <t>飞剑3</t>
  </si>
  <si>
    <t>飞剑4</t>
  </si>
  <si>
    <t>飞剑5</t>
  </si>
  <si>
    <t>颠越苍穹击</t>
  </si>
  <si>
    <t>五方行尽</t>
  </si>
  <si>
    <t>四象轮回</t>
  </si>
  <si>
    <t>两仪化形</t>
  </si>
  <si>
    <t>两仪化形(4</t>
  </si>
  <si>
    <t>两仪化形(3.5</t>
  </si>
  <si>
    <t>六合1</t>
  </si>
  <si>
    <t>六合2</t>
  </si>
  <si>
    <t>六合3</t>
  </si>
  <si>
    <t>六合4</t>
  </si>
  <si>
    <t>六合5</t>
  </si>
  <si>
    <t>破</t>
  </si>
  <si>
    <t>破(3.5</t>
  </si>
  <si>
    <t>破(万世二段</t>
  </si>
  <si>
    <t>三才化生</t>
  </si>
  <si>
    <t>刃凌</t>
  </si>
  <si>
    <t>昆吾·弦刃</t>
  </si>
  <si>
    <t>腾空·凭虚·定</t>
  </si>
  <si>
    <t>气竭(DOT)</t>
  </si>
  <si>
    <t>星辰</t>
  </si>
  <si>
    <t>四象轮回·神兵</t>
  </si>
  <si>
    <t>太极无极(若冲)</t>
  </si>
  <si>
    <t>小紫</t>
  </si>
  <si>
    <t>大紫</t>
  </si>
  <si>
    <t>大紫会神</t>
  </si>
  <si>
    <t>腰坠常规</t>
  </si>
  <si>
    <t>腰坠小紫</t>
  </si>
  <si>
    <t>腰坠大紫</t>
  </si>
  <si>
    <t>腰坠大紫会神</t>
  </si>
  <si>
    <t>技能数统计</t>
  </si>
  <si>
    <t>不可修改</t>
  </si>
  <si>
    <t>伤害统计</t>
  </si>
  <si>
    <t>次数</t>
  </si>
  <si>
    <t>伤害占比</t>
  </si>
  <si>
    <t>六合</t>
  </si>
  <si>
    <t>万世不竭</t>
  </si>
  <si>
    <t>两仪化形(5)</t>
  </si>
  <si>
    <t>空啸太玄剑</t>
  </si>
  <si>
    <t>白鹤舒翅</t>
  </si>
  <si>
    <t>空啸太玄剑·定</t>
  </si>
  <si>
    <t>破(4</t>
  </si>
  <si>
    <t>护腕附魔 昆吾·弦刃 10s内置CD 平均(10+10/技能总数/战斗时间)秒一次 命中10%概率加伤 受到会心会效影响</t>
  </si>
  <si>
    <t>鞋子附魔 刃凌 10s内置CD 平均(10+会心%*100)s秒一次 会心即加伤 受到会心会效影响</t>
  </si>
  <si>
    <t>腰带附魔30s内置CD生效8秒 20%概率增伤 平均35s一次 30%提升1% 70%提升5%</t>
  </si>
  <si>
    <t>头附魔全程覆盖</t>
  </si>
  <si>
    <t>衣服附魔全程覆盖</t>
  </si>
  <si>
    <t>水特效提升基础攻击810点</t>
  </si>
  <si>
    <t>根骨转化攻击力</t>
  </si>
  <si>
    <t>四件套会心会效覆盖90%战斗时间</t>
  </si>
  <si>
    <t>根骨转化会心</t>
  </si>
  <si>
    <t>5豆</t>
  </si>
  <si>
    <t>4.5豆</t>
  </si>
  <si>
    <t>4豆</t>
  </si>
  <si>
    <t>3.5豆</t>
  </si>
  <si>
    <t>基础攻击收益</t>
  </si>
  <si>
    <t>系数</t>
  </si>
  <si>
    <t>根骨收益</t>
  </si>
  <si>
    <t>会心收益</t>
  </si>
  <si>
    <t>会效收益</t>
  </si>
  <si>
    <t>破防收益</t>
  </si>
  <si>
    <t xml:space="preserve">  </t>
  </si>
  <si>
    <t>无双收益</t>
  </si>
  <si>
    <t>破招收益</t>
  </si>
  <si>
    <t>气纯PVE禁摆群②</t>
  </si>
  <si>
    <t>气纯PVE禁摆群①</t>
  </si>
  <si>
    <t>无敌吹水气纯群</t>
  </si>
  <si>
    <t>Q群号:487564558</t>
  </si>
  <si>
    <t>Q群号:550887289</t>
  </si>
  <si>
    <t>Q群号:994120357</t>
  </si>
  <si>
    <t>有意见或建议反馈，请找"月慕青尘"，魔盒UID:50049，推栏UID:331368</t>
  </si>
  <si>
    <r>
      <rPr>
        <sz val="11"/>
        <color theme="1"/>
        <rFont val="微软雅黑 Light"/>
        <charset val="134"/>
      </rPr>
      <t xml:space="preserve">计算器问题反馈QQ群：①群550887289(人满为患) </t>
    </r>
    <r>
      <rPr>
        <b/>
        <sz val="11"/>
        <color theme="1"/>
        <rFont val="微软雅黑 Light"/>
        <charset val="134"/>
      </rPr>
      <t>②群487564558(纳新中)</t>
    </r>
  </si>
  <si>
    <t>气纯dps计算器地址：https://www.jx3box.com/bps/53045</t>
  </si>
  <si>
    <t>基准伤害=(基础伤害+攻击力x攻击系数)x(1+破防值)x(1+无双)x(1-防御值)x(1+非侠)x(1+秘籍奇穴加成)x(1-等级压制)</t>
  </si>
  <si>
    <t>会心加成</t>
  </si>
  <si>
    <t>会效加成</t>
  </si>
  <si>
    <t>测试技能</t>
  </si>
  <si>
    <t>单紫气阶段预输入</t>
  </si>
  <si>
    <t>技能名</t>
  </si>
  <si>
    <t>两仪(5</t>
  </si>
  <si>
    <t>两仪(4</t>
  </si>
  <si>
    <t>两仪(3.5</t>
  </si>
  <si>
    <t>正常阶段</t>
  </si>
  <si>
    <t>三才</t>
  </si>
  <si>
    <t>厚亡两仪</t>
  </si>
  <si>
    <t>厚亡破</t>
  </si>
  <si>
    <t>万世二段·破招</t>
  </si>
  <si>
    <t>大紫万世二段</t>
  </si>
  <si>
    <t>大紫万世二段·破招</t>
  </si>
  <si>
    <t>特效腰坠起手</t>
  </si>
  <si>
    <t>厚亡飞剑1</t>
  </si>
  <si>
    <t>厚亡飞剑2</t>
  </si>
  <si>
    <t>厚亡飞剑3</t>
  </si>
  <si>
    <t>厚亡飞剑4</t>
  </si>
  <si>
    <t>厚亡飞剑5</t>
  </si>
  <si>
    <t>非紫阶段技能数</t>
  </si>
  <si>
    <t>减去六合</t>
  </si>
  <si>
    <t>纯42技能数</t>
  </si>
  <si>
    <t>六合次数</t>
  </si>
  <si>
    <t>CW特效总数</t>
  </si>
  <si>
    <t>大紫CW特效</t>
  </si>
  <si>
    <t>紫气CW特效</t>
  </si>
  <si>
    <t>普通CW特效</t>
  </si>
  <si>
    <t xml:space="preserve">    </t>
  </si>
  <si>
    <t>技能数计算</t>
  </si>
  <si>
    <t>破苍穹</t>
  </si>
  <si>
    <t>万世·一段</t>
  </si>
  <si>
    <t>非紫2会心率</t>
  </si>
  <si>
    <t>两仪数量</t>
  </si>
  <si>
    <t>4豆两仪</t>
  </si>
  <si>
    <t>3.5豆两仪</t>
  </si>
  <si>
    <t>四象数量</t>
  </si>
  <si>
    <t>会心四象</t>
  </si>
  <si>
    <t>非会心四象</t>
  </si>
  <si>
    <t>技能次数</t>
  </si>
  <si>
    <t>5豆两仪</t>
  </si>
  <si>
    <t>4.5豆两仪</t>
  </si>
  <si>
    <t>会心两仪</t>
  </si>
  <si>
    <t>是否自己阵</t>
  </si>
  <si>
    <t>六合2345</t>
  </si>
  <si>
    <t>厚亡飞剑</t>
  </si>
  <si>
    <t>大紫二段</t>
  </si>
  <si>
    <t>大紫二招</t>
  </si>
  <si>
    <t>紫气会心伤害</t>
  </si>
  <si>
    <t>霜锋·爆发</t>
  </si>
  <si>
    <t>霜锋·常规</t>
  </si>
  <si>
    <t>正常会心伤害</t>
  </si>
  <si>
    <t>紫气非会心</t>
  </si>
  <si>
    <t>正常非会心</t>
  </si>
  <si>
    <t>作用次数</t>
  </si>
  <si>
    <t>作用间隔帧数</t>
  </si>
  <si>
    <t>dot伤害常数</t>
  </si>
  <si>
    <t>内功伤害场数</t>
  </si>
  <si>
    <t>伤害常数</t>
  </si>
  <si>
    <t>两仪化形(会神)</t>
  </si>
  <si>
    <t>破(会神)</t>
  </si>
  <si>
    <t>两仪(会神)</t>
  </si>
  <si>
    <t>CW特效大紫</t>
  </si>
  <si>
    <t>CW特效小紫</t>
  </si>
  <si>
    <t>CW特效常规</t>
  </si>
  <si>
    <t>特效气竭次数</t>
  </si>
  <si>
    <t>气竭(DOT)腰坠大紫气</t>
  </si>
  <si>
    <t>气竭(DOT)大紫气</t>
  </si>
  <si>
    <t>空啸·定</t>
  </si>
  <si>
    <t>气竭(DOT)小紫气</t>
  </si>
  <si>
    <t>理想</t>
  </si>
  <si>
    <t>万世一段</t>
  </si>
  <si>
    <t>飞剑结束</t>
  </si>
  <si>
    <t>11组</t>
  </si>
  <si>
    <t>1组</t>
  </si>
  <si>
    <t>5次飞剑</t>
  </si>
  <si>
    <t>飞剑总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</si>
</sst>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:ss."/>
    <numFmt numFmtId="177" formatCode="0.00_ "/>
  </numFmts>
  <fonts count="67">
    <font>
      <sz val="11"/>
      <color theme="1"/>
      <name val="宋体"/>
      <charset val="134"/>
      <scheme val="minor"/>
    </font>
    <font>
      <sz val="11"/>
      <color theme="1"/>
      <name val="Microsoft YaHei UI"/>
      <charset val="134"/>
    </font>
    <font>
      <sz val="12"/>
      <color theme="1"/>
      <name val="宋体"/>
      <charset val="134"/>
      <scheme val="minor"/>
    </font>
    <font>
      <sz val="12"/>
      <color rgb="FF3D454D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0"/>
      <name val="微软雅黑 Light"/>
      <charset val="134"/>
    </font>
    <font>
      <sz val="11"/>
      <color rgb="FF000000"/>
      <name val="宋体"/>
      <charset val="134"/>
    </font>
    <font>
      <b/>
      <sz val="14"/>
      <color theme="1"/>
      <name val="微软雅黑 Light"/>
      <charset val="134"/>
    </font>
    <font>
      <sz val="12"/>
      <color theme="1"/>
      <name val="微软雅黑 Light"/>
      <charset val="134"/>
    </font>
    <font>
      <sz val="11"/>
      <color theme="1"/>
      <name val="微软雅黑 Light"/>
      <charset val="134"/>
    </font>
    <font>
      <sz val="11"/>
      <color rgb="FF000000"/>
      <name val="Microsoft YaHei UI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6"/>
      <color theme="0"/>
      <name val="微软雅黑 Light"/>
      <charset val="134"/>
    </font>
    <font>
      <b/>
      <sz val="11"/>
      <color theme="1"/>
      <name val="微软雅黑 Light"/>
      <charset val="134"/>
    </font>
    <font>
      <sz val="11"/>
      <color theme="5" tint="-0.25"/>
      <name val="微软雅黑 Light"/>
      <charset val="134"/>
    </font>
    <font>
      <b/>
      <sz val="11"/>
      <color rgb="FFFF0000"/>
      <name val="微软雅黑 Light"/>
      <charset val="134"/>
    </font>
    <font>
      <sz val="11"/>
      <color rgb="FF953A96"/>
      <name val="宋体"/>
      <charset val="134"/>
      <scheme val="minor"/>
    </font>
    <font>
      <sz val="11"/>
      <color rgb="FF0070C0"/>
      <name val="宋体"/>
      <charset val="134"/>
      <scheme val="minor"/>
    </font>
    <font>
      <b/>
      <sz val="36"/>
      <color theme="0"/>
      <name val="微软雅黑 Light"/>
      <charset val="134"/>
    </font>
    <font>
      <b/>
      <sz val="12"/>
      <color theme="1"/>
      <name val="微软雅黑 Light"/>
      <charset val="134"/>
    </font>
    <font>
      <b/>
      <sz val="12"/>
      <color theme="7" tint="-0.25"/>
      <name val="微软雅黑 Light"/>
      <charset val="134"/>
    </font>
    <font>
      <b/>
      <sz val="16"/>
      <color rgb="FFFF0000"/>
      <name val="微软雅黑 Light"/>
      <charset val="134"/>
    </font>
    <font>
      <sz val="12"/>
      <color theme="4" tint="-0.5"/>
      <name val="微软雅黑 Light"/>
      <charset val="134"/>
    </font>
    <font>
      <sz val="10"/>
      <color rgb="FFD818C8"/>
      <name val="微软雅黑 Light"/>
      <charset val="134"/>
    </font>
    <font>
      <sz val="11"/>
      <color rgb="FFFF0000"/>
      <name val="微软雅黑 Light"/>
      <charset val="134"/>
    </font>
    <font>
      <b/>
      <sz val="11"/>
      <color rgb="FF772E77"/>
      <name val="微软雅黑 Light"/>
      <charset val="134"/>
    </font>
    <font>
      <b/>
      <sz val="14"/>
      <color theme="0"/>
      <name val="微软雅黑 Light"/>
      <charset val="134"/>
    </font>
    <font>
      <sz val="11"/>
      <color rgb="FF772E77"/>
      <name val="微软雅黑 Light"/>
      <charset val="134"/>
    </font>
    <font>
      <sz val="11"/>
      <color theme="0"/>
      <name val="微软雅黑 Light"/>
      <charset val="134"/>
    </font>
    <font>
      <b/>
      <u/>
      <sz val="11"/>
      <color rgb="FF800080"/>
      <name val="微软雅黑 Light"/>
      <charset val="0"/>
    </font>
    <font>
      <b/>
      <sz val="16"/>
      <color rgb="FFFF0000"/>
      <name val="荆南缘默体"/>
      <charset val="134"/>
    </font>
    <font>
      <b/>
      <sz val="12"/>
      <color theme="0"/>
      <name val="微软雅黑 Light"/>
      <charset val="134"/>
    </font>
    <font>
      <b/>
      <sz val="11"/>
      <color theme="5" tint="-0.5"/>
      <name val="微软雅黑 Light"/>
      <charset val="134"/>
    </font>
    <font>
      <b/>
      <sz val="10"/>
      <color theme="0"/>
      <name val="微软雅黑 Light"/>
      <charset val="134"/>
    </font>
    <font>
      <b/>
      <sz val="11"/>
      <color theme="7" tint="-0.25"/>
      <name val="微软雅黑 Light"/>
      <charset val="134"/>
    </font>
    <font>
      <b/>
      <sz val="16"/>
      <color theme="1"/>
      <name val="微软雅黑 Light"/>
      <charset val="134"/>
    </font>
    <font>
      <b/>
      <sz val="10"/>
      <color rgb="FFFF0000"/>
      <name val="微软雅黑 Light"/>
      <charset val="134"/>
    </font>
    <font>
      <b/>
      <sz val="8"/>
      <color theme="0"/>
      <name val="微软雅黑 Light"/>
      <charset val="134"/>
    </font>
    <font>
      <b/>
      <sz val="8"/>
      <color theme="1"/>
      <name val="微软雅黑 Light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D454D"/>
      <name val="宋体"/>
      <charset val="134"/>
    </font>
    <font>
      <sz val="8"/>
      <color theme="1"/>
      <name val="微软雅黑 Light"/>
      <charset val="134"/>
    </font>
    <font>
      <sz val="11"/>
      <color theme="9" tint="-0.5"/>
      <name val="微软雅黑 Light"/>
      <charset val="134"/>
    </font>
    <font>
      <sz val="11"/>
      <color theme="4" tint="-0.5"/>
      <name val="微软雅黑 Light"/>
      <charset val="134"/>
    </font>
    <font>
      <sz val="11"/>
      <color theme="6" tint="-0.5"/>
      <name val="微软雅黑 Light"/>
      <charset val="134"/>
    </font>
    <font>
      <b/>
      <sz val="9"/>
      <name val="宋体"/>
      <charset val="134"/>
    </font>
    <font>
      <sz val="9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953A96"/>
        <bgColor indexed="64"/>
      </patternFill>
    </fill>
    <fill>
      <patternFill patternType="solid">
        <fgColor rgb="FFE1B3E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5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EBCDEC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2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5"/>
        <bgColor indexed="64"/>
      </patternFill>
    </fill>
    <fill>
      <patternFill patternType="solid">
        <fgColor theme="6" tint="-0.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6" borderId="74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75" applyNumberFormat="0" applyFill="0" applyAlignment="0" applyProtection="0">
      <alignment vertical="center"/>
    </xf>
    <xf numFmtId="0" fontId="47" fillId="0" borderId="75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7" borderId="77" applyNumberFormat="0" applyAlignment="0" applyProtection="0">
      <alignment vertical="center"/>
    </xf>
    <xf numFmtId="0" fontId="50" fillId="28" borderId="78" applyNumberFormat="0" applyAlignment="0" applyProtection="0">
      <alignment vertical="center"/>
    </xf>
    <xf numFmtId="0" fontId="51" fillId="28" borderId="77" applyNumberFormat="0" applyAlignment="0" applyProtection="0">
      <alignment vertical="center"/>
    </xf>
    <xf numFmtId="0" fontId="52" fillId="29" borderId="79" applyNumberFormat="0" applyAlignment="0" applyProtection="0">
      <alignment vertical="center"/>
    </xf>
    <xf numFmtId="0" fontId="53" fillId="0" borderId="80" applyNumberFormat="0" applyFill="0" applyAlignment="0" applyProtection="0">
      <alignment vertical="center"/>
    </xf>
    <xf numFmtId="0" fontId="54" fillId="0" borderId="81" applyNumberFormat="0" applyFill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/>
    <xf numFmtId="9" fontId="0" fillId="0" borderId="0" applyFont="0" applyFill="0" applyBorder="0" applyAlignment="0" applyProtection="0">
      <alignment vertical="center"/>
    </xf>
    <xf numFmtId="0" fontId="0" fillId="0" borderId="0" applyBorder="0">
      <alignment vertical="center"/>
    </xf>
  </cellStyleXfs>
  <cellXfs count="486">
    <xf numFmtId="0" fontId="0" fillId="0" borderId="0" xfId="0">
      <alignment vertical="center"/>
    </xf>
    <xf numFmtId="21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/>
    <xf numFmtId="177" fontId="1" fillId="0" borderId="0" xfId="0" applyNumberFormat="1" applyFont="1" applyFill="1" applyAlignment="1">
      <alignment horizontal="right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2" fillId="2" borderId="0" xfId="0" applyNumberFormat="1" applyFont="1" applyFill="1">
      <alignment vertical="center"/>
    </xf>
    <xf numFmtId="0" fontId="2" fillId="0" borderId="0" xfId="0" applyNumberFormat="1" applyFont="1">
      <alignment vertical="center"/>
    </xf>
    <xf numFmtId="0" fontId="3" fillId="0" borderId="0" xfId="0" applyFont="1">
      <alignment vertical="center"/>
    </xf>
    <xf numFmtId="177" fontId="2" fillId="0" borderId="0" xfId="0" applyNumberFormat="1" applyFont="1">
      <alignment vertical="center"/>
    </xf>
    <xf numFmtId="0" fontId="3" fillId="0" borderId="0" xfId="0" applyNumberFormat="1" applyFont="1">
      <alignment vertical="center"/>
    </xf>
    <xf numFmtId="0" fontId="3" fillId="0" borderId="0" xfId="0" applyNumberFormat="1" applyFont="1" applyFill="1" applyAlignment="1" applyProtection="1">
      <alignment vertical="center"/>
    </xf>
    <xf numFmtId="0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0" fontId="0" fillId="3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10" fontId="0" fillId="0" borderId="0" xfId="0" applyNumberFormat="1">
      <alignment vertical="center"/>
    </xf>
    <xf numFmtId="10" fontId="0" fillId="0" borderId="0" xfId="0" applyNumberFormat="1" applyFill="1">
      <alignment vertical="center"/>
    </xf>
    <xf numFmtId="0" fontId="0" fillId="3" borderId="0" xfId="0" applyNumberFormat="1" applyFill="1">
      <alignment vertical="center"/>
    </xf>
    <xf numFmtId="0" fontId="5" fillId="4" borderId="0" xfId="0" applyFont="1" applyFill="1">
      <alignment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50" applyFont="1" applyFill="1" applyBorder="1" applyAlignment="1">
      <alignment vertical="center"/>
    </xf>
    <xf numFmtId="0" fontId="0" fillId="5" borderId="0" xfId="0" applyFill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6" borderId="0" xfId="0" applyFill="1">
      <alignment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177" fontId="2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9" fontId="7" fillId="0" borderId="0" xfId="50" applyNumberFormat="1" applyFont="1" applyFill="1" applyBorder="1" applyAlignment="1">
      <alignment vertical="center"/>
    </xf>
    <xf numFmtId="0" fontId="0" fillId="0" borderId="0" xfId="52" applyAlignment="1"/>
    <xf numFmtId="0" fontId="0" fillId="6" borderId="0" xfId="52" applyFill="1" applyAlignment="1"/>
    <xf numFmtId="0" fontId="0" fillId="8" borderId="0" xfId="52" applyFill="1" applyAlignment="1"/>
    <xf numFmtId="0" fontId="11" fillId="8" borderId="0" xfId="49" applyFont="1" applyFill="1">
      <alignment vertical="center"/>
    </xf>
    <xf numFmtId="0" fontId="11" fillId="6" borderId="0" xfId="49" applyFont="1" applyFill="1">
      <alignment vertical="center"/>
    </xf>
    <xf numFmtId="0" fontId="11" fillId="9" borderId="0" xfId="49" applyFont="1" applyFill="1">
      <alignment vertical="center"/>
    </xf>
    <xf numFmtId="0" fontId="0" fillId="9" borderId="0" xfId="0" applyFill="1">
      <alignment vertical="center"/>
    </xf>
    <xf numFmtId="0" fontId="11" fillId="0" borderId="0" xfId="49" applyFont="1">
      <alignment vertical="center"/>
    </xf>
    <xf numFmtId="0" fontId="7" fillId="0" borderId="0" xfId="50" applyFont="1" applyAlignment="1">
      <alignment vertical="center"/>
    </xf>
    <xf numFmtId="0" fontId="12" fillId="0" borderId="0" xfId="52" applyFont="1">
      <alignment vertical="center"/>
    </xf>
    <xf numFmtId="0" fontId="12" fillId="6" borderId="0" xfId="52" applyFont="1" applyFill="1">
      <alignment vertical="center"/>
    </xf>
    <xf numFmtId="0" fontId="12" fillId="8" borderId="0" xfId="52" applyFont="1" applyFill="1">
      <alignment vertical="center"/>
    </xf>
    <xf numFmtId="0" fontId="0" fillId="6" borderId="0" xfId="52" applyFill="1">
      <alignment vertical="center"/>
    </xf>
    <xf numFmtId="0" fontId="0" fillId="8" borderId="0" xfId="52" applyFill="1">
      <alignment vertical="center"/>
    </xf>
    <xf numFmtId="0" fontId="0" fillId="0" borderId="0" xfId="52">
      <alignment vertical="center"/>
    </xf>
    <xf numFmtId="0" fontId="12" fillId="9" borderId="0" xfId="52" applyFont="1" applyFill="1">
      <alignment vertical="center"/>
    </xf>
    <xf numFmtId="0" fontId="7" fillId="9" borderId="0" xfId="50" applyFont="1" applyFill="1" applyAlignment="1">
      <alignment vertical="center"/>
    </xf>
    <xf numFmtId="0" fontId="7" fillId="0" borderId="0" xfId="50" applyFont="1" applyFill="1" applyAlignment="1">
      <alignment vertical="center"/>
    </xf>
    <xf numFmtId="0" fontId="13" fillId="8" borderId="0" xfId="52" applyFont="1" applyFill="1">
      <alignment vertical="center"/>
    </xf>
    <xf numFmtId="0" fontId="0" fillId="9" borderId="0" xfId="52" applyFill="1">
      <alignment vertical="center"/>
    </xf>
    <xf numFmtId="9" fontId="7" fillId="0" borderId="0" xfId="50" applyNumberFormat="1" applyFont="1" applyAlignment="1">
      <alignment vertical="center"/>
    </xf>
    <xf numFmtId="0" fontId="14" fillId="10" borderId="6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4" fillId="10" borderId="8" xfId="0" applyFont="1" applyFill="1" applyBorder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0" fontId="15" fillId="11" borderId="9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0" fontId="16" fillId="0" borderId="2" xfId="0" applyNumberFormat="1" applyFont="1" applyFill="1" applyBorder="1" applyAlignment="1">
      <alignment horizontal="center" vertical="center"/>
    </xf>
    <xf numFmtId="0" fontId="15" fillId="11" borderId="6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6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>
      <alignment vertical="center"/>
    </xf>
    <xf numFmtId="0" fontId="6" fillId="4" borderId="0" xfId="0" applyFont="1" applyFill="1">
      <alignment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9" fontId="0" fillId="0" borderId="0" xfId="0" applyNumberFormat="1">
      <alignment vertical="center"/>
    </xf>
    <xf numFmtId="0" fontId="20" fillId="10" borderId="0" xfId="0" applyFon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4" fillId="10" borderId="12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21" fillId="11" borderId="12" xfId="0" applyFont="1" applyFill="1" applyBorder="1" applyAlignment="1">
      <alignment horizontal="center" vertical="center"/>
    </xf>
    <xf numFmtId="0" fontId="22" fillId="13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  <xf numFmtId="0" fontId="14" fillId="10" borderId="15" xfId="0" applyFont="1" applyFill="1" applyBorder="1" applyAlignment="1">
      <alignment horizontal="center" vertical="center"/>
    </xf>
    <xf numFmtId="0" fontId="14" fillId="10" borderId="16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6" fillId="10" borderId="17" xfId="0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/>
    </xf>
    <xf numFmtId="0" fontId="24" fillId="13" borderId="18" xfId="0" applyFont="1" applyFill="1" applyBorder="1" applyAlignment="1">
      <alignment horizontal="center" vertical="center"/>
    </xf>
    <xf numFmtId="0" fontId="24" fillId="13" borderId="19" xfId="0" applyFont="1" applyFill="1" applyBorder="1" applyAlignment="1">
      <alignment horizontal="center" vertical="center"/>
    </xf>
    <xf numFmtId="0" fontId="25" fillId="13" borderId="20" xfId="0" applyFont="1" applyFill="1" applyBorder="1">
      <alignment vertical="center"/>
    </xf>
    <xf numFmtId="0" fontId="15" fillId="11" borderId="21" xfId="0" applyFont="1" applyFill="1" applyBorder="1" applyAlignment="1">
      <alignment horizontal="center" vertical="center"/>
    </xf>
    <xf numFmtId="0" fontId="24" fillId="13" borderId="22" xfId="0" applyFont="1" applyFill="1" applyBorder="1" applyAlignment="1">
      <alignment horizontal="center" vertical="center"/>
    </xf>
    <xf numFmtId="0" fontId="24" fillId="13" borderId="6" xfId="0" applyFont="1" applyFill="1" applyBorder="1" applyAlignment="1">
      <alignment horizontal="center" vertical="center"/>
    </xf>
    <xf numFmtId="0" fontId="25" fillId="13" borderId="23" xfId="0" applyFont="1" applyFill="1" applyBorder="1">
      <alignment vertical="center"/>
    </xf>
    <xf numFmtId="0" fontId="15" fillId="11" borderId="1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24" fillId="13" borderId="25" xfId="0" applyFont="1" applyFill="1" applyBorder="1" applyAlignment="1">
      <alignment horizontal="center" vertical="center"/>
    </xf>
    <xf numFmtId="0" fontId="24" fillId="13" borderId="7" xfId="0" applyFont="1" applyFill="1" applyBorder="1" applyAlignment="1">
      <alignment horizontal="center" vertical="center"/>
    </xf>
    <xf numFmtId="0" fontId="25" fillId="13" borderId="26" xfId="0" applyFont="1" applyFill="1" applyBorder="1">
      <alignment vertical="center"/>
    </xf>
    <xf numFmtId="0" fontId="25" fillId="13" borderId="25" xfId="0" applyFont="1" applyFill="1" applyBorder="1" applyAlignment="1">
      <alignment horizontal="center" vertical="center"/>
    </xf>
    <xf numFmtId="0" fontId="25" fillId="13" borderId="7" xfId="0" applyFont="1" applyFill="1" applyBorder="1" applyAlignment="1">
      <alignment horizontal="center" vertical="center"/>
    </xf>
    <xf numFmtId="0" fontId="25" fillId="13" borderId="27" xfId="0" applyFont="1" applyFill="1" applyBorder="1" applyAlignment="1">
      <alignment horizontal="center" vertical="center"/>
    </xf>
    <xf numFmtId="0" fontId="25" fillId="13" borderId="28" xfId="0" applyFont="1" applyFill="1" applyBorder="1" applyAlignment="1">
      <alignment horizontal="center" vertical="center"/>
    </xf>
    <xf numFmtId="0" fontId="14" fillId="10" borderId="29" xfId="0" applyFont="1" applyFill="1" applyBorder="1" applyAlignment="1">
      <alignment horizontal="center" vertical="center"/>
    </xf>
    <xf numFmtId="0" fontId="14" fillId="10" borderId="30" xfId="0" applyFont="1" applyFill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0" fontId="16" fillId="13" borderId="2" xfId="0" applyFont="1" applyFill="1" applyBorder="1" applyAlignment="1">
      <alignment horizontal="center" vertical="center"/>
    </xf>
    <xf numFmtId="10" fontId="16" fillId="13" borderId="2" xfId="0" applyNumberFormat="1" applyFont="1" applyFill="1" applyBorder="1" applyAlignment="1" applyProtection="1">
      <alignment horizontal="center" vertical="center"/>
    </xf>
    <xf numFmtId="10" fontId="16" fillId="13" borderId="2" xfId="0" applyNumberFormat="1" applyFont="1" applyFill="1" applyBorder="1" applyAlignment="1">
      <alignment horizontal="center" vertical="center"/>
    </xf>
    <xf numFmtId="0" fontId="15" fillId="11" borderId="24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10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16" fillId="13" borderId="31" xfId="0" applyFont="1" applyFill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5" fillId="6" borderId="33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6" borderId="34" xfId="0" applyFont="1" applyFill="1" applyBorder="1" applyAlignment="1">
      <alignment horizontal="center" vertical="center"/>
    </xf>
    <xf numFmtId="0" fontId="15" fillId="6" borderId="20" xfId="0" applyFont="1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/>
    </xf>
    <xf numFmtId="0" fontId="15" fillId="6" borderId="31" xfId="0" applyFont="1" applyFill="1" applyBorder="1" applyAlignment="1">
      <alignment horizontal="center" vertical="center"/>
    </xf>
    <xf numFmtId="0" fontId="15" fillId="6" borderId="32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  <xf numFmtId="0" fontId="14" fillId="4" borderId="36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/>
    </xf>
    <xf numFmtId="0" fontId="14" fillId="4" borderId="38" xfId="0" applyFont="1" applyFill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0" fillId="0" borderId="31" xfId="0" applyFont="1" applyFill="1" applyBorder="1">
      <alignment vertical="center"/>
    </xf>
    <xf numFmtId="0" fontId="27" fillId="0" borderId="0" xfId="0" applyFont="1" applyFill="1" applyAlignment="1">
      <alignment horizontal="center" vertical="center"/>
    </xf>
    <xf numFmtId="0" fontId="27" fillId="0" borderId="4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10" fillId="0" borderId="40" xfId="0" applyFont="1" applyFill="1" applyBorder="1">
      <alignment vertical="center"/>
    </xf>
    <xf numFmtId="0" fontId="27" fillId="0" borderId="0" xfId="0" applyFont="1" applyFill="1" applyAlignment="1" applyProtection="1">
      <alignment horizontal="center" vertical="center"/>
      <protection locked="0"/>
    </xf>
    <xf numFmtId="0" fontId="27" fillId="0" borderId="31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Alignment="1" applyProtection="1">
      <alignment horizontal="center" vertical="center" wrapText="1"/>
      <protection locked="0"/>
    </xf>
    <xf numFmtId="0" fontId="28" fillId="4" borderId="36" xfId="0" applyFont="1" applyFill="1" applyBorder="1" applyAlignment="1" applyProtection="1">
      <alignment vertical="center"/>
      <protection locked="0"/>
    </xf>
    <xf numFmtId="0" fontId="28" fillId="4" borderId="36" xfId="0" applyFont="1" applyFill="1" applyBorder="1" applyAlignment="1" applyProtection="1">
      <alignment horizontal="center" vertical="center"/>
      <protection locked="0"/>
    </xf>
    <xf numFmtId="0" fontId="28" fillId="4" borderId="37" xfId="0" applyFont="1" applyFill="1" applyBorder="1" applyAlignment="1" applyProtection="1">
      <alignment horizontal="center" vertical="center"/>
      <protection locked="0"/>
    </xf>
    <xf numFmtId="0" fontId="28" fillId="4" borderId="38" xfId="0" applyFont="1" applyFill="1" applyBorder="1" applyAlignment="1" applyProtection="1">
      <alignment horizontal="center" vertical="center"/>
      <protection locked="0"/>
    </xf>
    <xf numFmtId="0" fontId="28" fillId="4" borderId="38" xfId="0" applyFont="1" applyFill="1" applyBorder="1" applyAlignment="1" applyProtection="1">
      <alignment vertical="center"/>
      <protection locked="0"/>
    </xf>
    <xf numFmtId="0" fontId="28" fillId="4" borderId="41" xfId="0" applyFont="1" applyFill="1" applyBorder="1" applyAlignment="1" applyProtection="1">
      <alignment vertical="center"/>
      <protection locked="0"/>
    </xf>
    <xf numFmtId="0" fontId="28" fillId="4" borderId="39" xfId="0" applyFont="1" applyFill="1" applyBorder="1" applyAlignment="1" applyProtection="1">
      <alignment horizontal="center" vertical="center"/>
      <protection locked="0"/>
    </xf>
    <xf numFmtId="0" fontId="28" fillId="4" borderId="29" xfId="0" applyFont="1" applyFill="1" applyBorder="1" applyAlignment="1" applyProtection="1">
      <alignment horizontal="center" vertical="center"/>
      <protection locked="0"/>
    </xf>
    <xf numFmtId="0" fontId="28" fillId="4" borderId="30" xfId="0" applyFont="1" applyFill="1" applyBorder="1" applyAlignment="1" applyProtection="1">
      <alignment horizontal="center" vertical="center"/>
      <protection locked="0"/>
    </xf>
    <xf numFmtId="0" fontId="28" fillId="4" borderId="42" xfId="0" applyFont="1" applyFill="1" applyBorder="1" applyAlignment="1" applyProtection="1">
      <alignment vertical="center"/>
      <protection locked="0"/>
    </xf>
    <xf numFmtId="0" fontId="10" fillId="4" borderId="41" xfId="0" applyFont="1" applyFill="1" applyBorder="1">
      <alignment vertical="center"/>
    </xf>
    <xf numFmtId="0" fontId="6" fillId="4" borderId="41" xfId="0" applyFont="1" applyFill="1" applyBorder="1" applyAlignment="1">
      <alignment horizontal="center" vertical="center"/>
    </xf>
    <xf numFmtId="0" fontId="29" fillId="14" borderId="2" xfId="0" applyFont="1" applyFill="1" applyBorder="1" applyAlignment="1">
      <alignment horizontal="center" vertical="center"/>
    </xf>
    <xf numFmtId="0" fontId="30" fillId="4" borderId="0" xfId="0" applyFont="1" applyFill="1" applyAlignment="1">
      <alignment horizontal="center" vertical="center" wrapText="1"/>
    </xf>
    <xf numFmtId="0" fontId="30" fillId="4" borderId="42" xfId="0" applyFont="1" applyFill="1" applyBorder="1" applyAlignment="1">
      <alignment horizontal="center" vertical="center" wrapText="1"/>
    </xf>
    <xf numFmtId="0" fontId="10" fillId="4" borderId="42" xfId="0" applyFont="1" applyFill="1" applyBorder="1">
      <alignment vertical="center"/>
    </xf>
    <xf numFmtId="0" fontId="6" fillId="4" borderId="39" xfId="0" applyFont="1" applyFill="1" applyBorder="1" applyAlignment="1">
      <alignment horizontal="center" vertical="center"/>
    </xf>
    <xf numFmtId="0" fontId="30" fillId="4" borderId="29" xfId="0" applyFont="1" applyFill="1" applyBorder="1" applyAlignment="1">
      <alignment horizontal="center" vertical="center" wrapText="1"/>
    </xf>
    <xf numFmtId="0" fontId="30" fillId="4" borderId="30" xfId="0" applyFont="1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15" fillId="11" borderId="43" xfId="0" applyFont="1" applyFill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5" fillId="15" borderId="33" xfId="0" applyFont="1" applyFill="1" applyBorder="1" applyAlignment="1">
      <alignment horizontal="center" vertical="center"/>
    </xf>
    <xf numFmtId="0" fontId="16" fillId="16" borderId="2" xfId="0" applyFont="1" applyFill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6" fillId="10" borderId="45" xfId="0" applyFont="1" applyFill="1" applyBorder="1" applyAlignment="1">
      <alignment horizontal="center" vertical="center"/>
    </xf>
    <xf numFmtId="0" fontId="6" fillId="10" borderId="46" xfId="0" applyFont="1" applyFill="1" applyBorder="1" applyAlignment="1">
      <alignment horizontal="center" vertical="center"/>
    </xf>
    <xf numFmtId="0" fontId="10" fillId="0" borderId="47" xfId="0" applyFont="1" applyBorder="1" applyAlignment="1">
      <alignment horizontal="center" vertical="center" wrapText="1"/>
    </xf>
    <xf numFmtId="10" fontId="16" fillId="0" borderId="2" xfId="0" applyNumberFormat="1" applyFont="1" applyFill="1" applyBorder="1" applyAlignment="1" applyProtection="1">
      <alignment horizontal="center" vertical="center"/>
    </xf>
    <xf numFmtId="0" fontId="10" fillId="0" borderId="48" xfId="0" applyFont="1" applyBorder="1" applyAlignment="1">
      <alignment horizontal="center" vertical="center" wrapText="1"/>
    </xf>
    <xf numFmtId="0" fontId="14" fillId="10" borderId="41" xfId="0" applyFont="1" applyFill="1" applyBorder="1" applyAlignment="1" applyProtection="1">
      <alignment vertical="center"/>
      <protection locked="0"/>
    </xf>
    <xf numFmtId="0" fontId="14" fillId="10" borderId="0" xfId="0" applyFont="1" applyFill="1" applyAlignment="1" applyProtection="1">
      <alignment vertical="center"/>
      <protection locked="0"/>
    </xf>
    <xf numFmtId="0" fontId="15" fillId="11" borderId="22" xfId="0" applyFont="1" applyFill="1" applyBorder="1" applyAlignment="1" applyProtection="1">
      <alignment horizontal="center" vertical="center"/>
      <protection locked="0"/>
    </xf>
    <xf numFmtId="0" fontId="15" fillId="11" borderId="6" xfId="0" applyFont="1" applyFill="1" applyBorder="1" applyAlignment="1" applyProtection="1">
      <alignment horizontal="center" vertical="center"/>
      <protection locked="0"/>
    </xf>
    <xf numFmtId="0" fontId="6" fillId="10" borderId="6" xfId="0" applyFont="1" applyFill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Protection="1">
      <alignment vertical="center"/>
      <protection locked="0"/>
    </xf>
    <xf numFmtId="10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10" borderId="49" xfId="0" applyFont="1" applyFill="1" applyBorder="1" applyAlignment="1" applyProtection="1">
      <alignment vertical="center"/>
      <protection locked="0"/>
    </xf>
    <xf numFmtId="0" fontId="10" fillId="10" borderId="50" xfId="0" applyFont="1" applyFill="1" applyBorder="1" applyAlignment="1" applyProtection="1">
      <alignment vertical="center"/>
      <protection locked="0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4" fillId="10" borderId="42" xfId="0" applyFont="1" applyFill="1" applyBorder="1" applyAlignment="1" applyProtection="1">
      <alignment vertical="center"/>
      <protection locked="0"/>
    </xf>
    <xf numFmtId="0" fontId="15" fillId="11" borderId="23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10" fillId="17" borderId="6" xfId="0" applyFont="1" applyFill="1" applyBorder="1" applyAlignment="1" applyProtection="1">
      <alignment horizontal="center" vertical="center"/>
      <protection locked="0"/>
    </xf>
    <xf numFmtId="0" fontId="6" fillId="18" borderId="6" xfId="0" applyFont="1" applyFill="1" applyBorder="1" applyAlignment="1" applyProtection="1">
      <alignment horizontal="center" vertical="center"/>
      <protection locked="0"/>
    </xf>
    <xf numFmtId="0" fontId="31" fillId="0" borderId="23" xfId="6" applyFont="1" applyBorder="1" applyAlignment="1" applyProtection="1">
      <alignment horizontal="center" vertical="center"/>
      <protection locked="0"/>
    </xf>
    <xf numFmtId="0" fontId="10" fillId="13" borderId="6" xfId="0" applyFont="1" applyFill="1" applyBorder="1" applyAlignment="1" applyProtection="1">
      <alignment horizontal="center" vertical="center"/>
      <protection locked="0"/>
    </xf>
    <xf numFmtId="0" fontId="6" fillId="19" borderId="6" xfId="0" applyFont="1" applyFill="1" applyBorder="1" applyAlignment="1" applyProtection="1">
      <alignment horizontal="center" vertical="center"/>
      <protection locked="0"/>
    </xf>
    <xf numFmtId="0" fontId="6" fillId="10" borderId="23" xfId="0" applyFont="1" applyFill="1" applyBorder="1" applyAlignment="1" applyProtection="1">
      <alignment horizontal="center" vertical="center"/>
      <protection locked="0"/>
    </xf>
    <xf numFmtId="0" fontId="10" fillId="10" borderId="29" xfId="0" applyFont="1" applyFill="1" applyBorder="1" applyAlignment="1" applyProtection="1">
      <alignment vertical="center"/>
      <protection locked="0"/>
    </xf>
    <xf numFmtId="0" fontId="10" fillId="10" borderId="30" xfId="0" applyFont="1" applyFill="1" applyBorder="1" applyAlignment="1" applyProtection="1">
      <alignment vertical="center"/>
      <protection locked="0"/>
    </xf>
    <xf numFmtId="0" fontId="15" fillId="15" borderId="1" xfId="0" applyFont="1" applyFill="1" applyBorder="1" applyAlignment="1">
      <alignment horizontal="center" vertical="center"/>
    </xf>
    <xf numFmtId="0" fontId="15" fillId="11" borderId="33" xfId="0" applyFont="1" applyFill="1" applyBorder="1" applyAlignment="1">
      <alignment horizontal="center" vertical="center"/>
    </xf>
    <xf numFmtId="0" fontId="16" fillId="13" borderId="40" xfId="0" applyFont="1" applyFill="1" applyBorder="1" applyAlignment="1">
      <alignment horizontal="center" vertical="center"/>
    </xf>
    <xf numFmtId="0" fontId="15" fillId="20" borderId="9" xfId="0" applyFont="1" applyFill="1" applyBorder="1" applyAlignment="1">
      <alignment horizontal="center" vertical="center"/>
    </xf>
    <xf numFmtId="0" fontId="16" fillId="20" borderId="2" xfId="0" applyFont="1" applyFill="1" applyBorder="1" applyAlignment="1">
      <alignment horizontal="center" vertical="center"/>
    </xf>
    <xf numFmtId="0" fontId="10" fillId="20" borderId="10" xfId="0" applyFont="1" applyFill="1" applyBorder="1" applyAlignment="1">
      <alignment horizontal="center" vertical="center" wrapText="1"/>
    </xf>
    <xf numFmtId="0" fontId="10" fillId="20" borderId="6" xfId="0" applyFont="1" applyFill="1" applyBorder="1" applyAlignment="1">
      <alignment horizontal="center" vertical="center" wrapText="1"/>
    </xf>
    <xf numFmtId="14" fontId="6" fillId="21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14" fontId="1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4" fontId="6" fillId="0" borderId="0" xfId="0" applyNumberFormat="1" applyFont="1" applyFill="1" applyAlignment="1">
      <alignment vertical="center"/>
    </xf>
    <xf numFmtId="0" fontId="0" fillId="0" borderId="0" xfId="0" applyFill="1" applyProtection="1">
      <alignment vertical="center"/>
    </xf>
    <xf numFmtId="0" fontId="0" fillId="0" borderId="0" xfId="0" applyProtection="1">
      <alignment vertical="center"/>
    </xf>
    <xf numFmtId="0" fontId="20" fillId="10" borderId="0" xfId="0" applyFont="1" applyFill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0" fontId="10" fillId="0" borderId="0" xfId="0" applyFont="1" applyFill="1" applyProtection="1">
      <alignment vertical="center"/>
    </xf>
    <xf numFmtId="0" fontId="14" fillId="10" borderId="3" xfId="0" applyFont="1" applyFill="1" applyBorder="1" applyAlignment="1" applyProtection="1">
      <alignment horizontal="center" vertical="center"/>
    </xf>
    <xf numFmtId="0" fontId="14" fillId="10" borderId="4" xfId="0" applyFont="1" applyFill="1" applyBorder="1" applyAlignment="1" applyProtection="1">
      <alignment horizontal="center" vertical="center"/>
    </xf>
    <xf numFmtId="0" fontId="14" fillId="10" borderId="51" xfId="0" applyFont="1" applyFill="1" applyBorder="1" applyAlignment="1" applyProtection="1">
      <alignment horizontal="center" vertical="center"/>
    </xf>
    <xf numFmtId="0" fontId="14" fillId="10" borderId="16" xfId="0" applyFont="1" applyFill="1" applyBorder="1" applyAlignment="1" applyProtection="1">
      <alignment horizontal="center" vertical="center"/>
    </xf>
    <xf numFmtId="0" fontId="14" fillId="10" borderId="13" xfId="0" applyFont="1" applyFill="1" applyBorder="1" applyAlignment="1" applyProtection="1">
      <alignment horizontal="center" vertical="center"/>
    </xf>
    <xf numFmtId="0" fontId="21" fillId="11" borderId="3" xfId="0" applyFont="1" applyFill="1" applyBorder="1" applyAlignment="1" applyProtection="1">
      <alignment horizontal="center" vertical="center"/>
    </xf>
    <xf numFmtId="0" fontId="22" fillId="13" borderId="4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32" fillId="0" borderId="14" xfId="0" applyFont="1" applyFill="1" applyBorder="1" applyAlignment="1" applyProtection="1">
      <alignment horizontal="center" vertical="center"/>
    </xf>
    <xf numFmtId="0" fontId="6" fillId="10" borderId="3" xfId="0" applyFont="1" applyFill="1" applyBorder="1" applyAlignment="1" applyProtection="1">
      <alignment horizontal="center" vertical="center"/>
    </xf>
    <xf numFmtId="0" fontId="6" fillId="10" borderId="15" xfId="0" applyFont="1" applyFill="1" applyBorder="1" applyAlignment="1" applyProtection="1">
      <alignment horizontal="center" vertical="center"/>
    </xf>
    <xf numFmtId="0" fontId="6" fillId="10" borderId="16" xfId="0" applyFont="1" applyFill="1" applyBorder="1" applyAlignment="1" applyProtection="1">
      <alignment horizontal="center" vertical="center"/>
    </xf>
    <xf numFmtId="0" fontId="9" fillId="0" borderId="0" xfId="0" applyFont="1" applyFill="1" applyProtection="1">
      <alignment vertical="center"/>
    </xf>
    <xf numFmtId="0" fontId="33" fillId="10" borderId="3" xfId="0" applyFont="1" applyFill="1" applyBorder="1" applyAlignment="1" applyProtection="1">
      <alignment horizontal="center" vertical="center"/>
    </xf>
    <xf numFmtId="0" fontId="6" fillId="22" borderId="2" xfId="0" applyFont="1" applyFill="1" applyBorder="1" applyAlignment="1" applyProtection="1">
      <alignment horizontal="center" vertical="center"/>
    </xf>
    <xf numFmtId="0" fontId="6" fillId="22" borderId="3" xfId="0" applyFont="1" applyFill="1" applyBorder="1" applyAlignment="1" applyProtection="1">
      <alignment horizontal="center" vertical="center"/>
    </xf>
    <xf numFmtId="0" fontId="6" fillId="22" borderId="5" xfId="0" applyFont="1" applyFill="1" applyBorder="1" applyAlignment="1" applyProtection="1">
      <alignment horizontal="center" vertical="center"/>
    </xf>
    <xf numFmtId="0" fontId="6" fillId="10" borderId="17" xfId="0" applyFont="1" applyFill="1" applyBorder="1" applyAlignment="1" applyProtection="1">
      <alignment horizontal="center" vertical="center"/>
    </xf>
    <xf numFmtId="0" fontId="15" fillId="11" borderId="33" xfId="0" applyFont="1" applyFill="1" applyBorder="1" applyAlignment="1" applyProtection="1">
      <alignment horizontal="center" vertical="center"/>
    </xf>
    <xf numFmtId="0" fontId="24" fillId="13" borderId="18" xfId="0" applyFont="1" applyFill="1" applyBorder="1" applyAlignment="1" applyProtection="1">
      <alignment horizontal="center" vertical="center"/>
      <protection locked="0"/>
    </xf>
    <xf numFmtId="0" fontId="24" fillId="13" borderId="19" xfId="0" applyFont="1" applyFill="1" applyBorder="1" applyAlignment="1" applyProtection="1">
      <alignment horizontal="center" vertical="center"/>
      <protection locked="0"/>
    </xf>
    <xf numFmtId="0" fontId="25" fillId="13" borderId="20" xfId="0" applyFont="1" applyFill="1" applyBorder="1" applyProtection="1">
      <alignment vertical="center"/>
      <protection locked="0"/>
    </xf>
    <xf numFmtId="0" fontId="15" fillId="11" borderId="21" xfId="0" applyFont="1" applyFill="1" applyBorder="1" applyAlignment="1" applyProtection="1">
      <alignment horizontal="center" vertical="center"/>
    </xf>
    <xf numFmtId="0" fontId="24" fillId="13" borderId="22" xfId="0" applyFont="1" applyFill="1" applyBorder="1" applyAlignment="1" applyProtection="1">
      <alignment horizontal="center" vertical="center"/>
      <protection locked="0"/>
    </xf>
    <xf numFmtId="0" fontId="24" fillId="13" borderId="6" xfId="0" applyFont="1" applyFill="1" applyBorder="1" applyAlignment="1" applyProtection="1">
      <alignment horizontal="center" vertical="center"/>
      <protection locked="0"/>
    </xf>
    <xf numFmtId="0" fontId="25" fillId="13" borderId="23" xfId="0" applyFont="1" applyFill="1" applyBorder="1" applyProtection="1">
      <alignment vertical="center"/>
      <protection locked="0"/>
    </xf>
    <xf numFmtId="0" fontId="15" fillId="11" borderId="1" xfId="0" applyFont="1" applyFill="1" applyBorder="1" applyAlignment="1" applyProtection="1">
      <alignment horizontal="center" vertical="center"/>
    </xf>
    <xf numFmtId="0" fontId="14" fillId="10" borderId="36" xfId="0" applyFont="1" applyFill="1" applyBorder="1" applyAlignment="1" applyProtection="1">
      <alignment horizontal="center" vertical="center"/>
    </xf>
    <xf numFmtId="0" fontId="14" fillId="10" borderId="39" xfId="0" applyFont="1" applyFill="1" applyBorder="1" applyAlignment="1" applyProtection="1">
      <alignment horizontal="center" vertical="center"/>
    </xf>
    <xf numFmtId="0" fontId="15" fillId="11" borderId="52" xfId="0" applyFont="1" applyFill="1" applyBorder="1" applyAlignment="1" applyProtection="1">
      <alignment horizontal="center" vertical="center"/>
    </xf>
    <xf numFmtId="0" fontId="15" fillId="11" borderId="35" xfId="0" applyFont="1" applyFill="1" applyBorder="1" applyAlignment="1" applyProtection="1">
      <alignment horizontal="center" vertical="center"/>
    </xf>
    <xf numFmtId="0" fontId="24" fillId="13" borderId="25" xfId="0" applyFont="1" applyFill="1" applyBorder="1" applyAlignment="1" applyProtection="1">
      <alignment horizontal="center" vertical="center"/>
      <protection locked="0"/>
    </xf>
    <xf numFmtId="0" fontId="24" fillId="13" borderId="7" xfId="0" applyFont="1" applyFill="1" applyBorder="1" applyAlignment="1" applyProtection="1">
      <alignment horizontal="center" vertical="center"/>
      <protection locked="0"/>
    </xf>
    <xf numFmtId="0" fontId="25" fillId="13" borderId="26" xfId="0" applyFont="1" applyFill="1" applyBorder="1" applyProtection="1">
      <alignment vertical="center"/>
      <protection locked="0"/>
    </xf>
    <xf numFmtId="0" fontId="10" fillId="0" borderId="22" xfId="0" applyFont="1" applyBorder="1" applyAlignment="1" applyProtection="1">
      <alignment horizontal="center" vertical="center"/>
    </xf>
    <xf numFmtId="0" fontId="25" fillId="13" borderId="25" xfId="0" applyFont="1" applyFill="1" applyBorder="1" applyAlignment="1" applyProtection="1">
      <alignment horizontal="center" vertical="center"/>
      <protection locked="0"/>
    </xf>
    <xf numFmtId="0" fontId="25" fillId="13" borderId="7" xfId="0" applyFont="1" applyFill="1" applyBorder="1" applyAlignment="1" applyProtection="1">
      <alignment horizontal="center" vertical="center"/>
      <protection locked="0"/>
    </xf>
    <xf numFmtId="0" fontId="25" fillId="13" borderId="26" xfId="0" applyFont="1" applyFill="1" applyBorder="1" applyAlignment="1" applyProtection="1">
      <alignment horizontal="center" vertical="center"/>
      <protection locked="0"/>
    </xf>
    <xf numFmtId="0" fontId="25" fillId="13" borderId="27" xfId="0" applyFont="1" applyFill="1" applyBorder="1" applyAlignment="1" applyProtection="1">
      <alignment horizontal="center" vertical="center"/>
      <protection locked="0"/>
    </xf>
    <xf numFmtId="0" fontId="25" fillId="13" borderId="28" xfId="0" applyFont="1" applyFill="1" applyBorder="1" applyAlignment="1" applyProtection="1">
      <alignment horizontal="center" vertical="center"/>
      <protection locked="0"/>
    </xf>
    <xf numFmtId="0" fontId="25" fillId="13" borderId="53" xfId="0" applyFont="1" applyFill="1" applyBorder="1" applyAlignment="1" applyProtection="1">
      <alignment horizontal="center" vertical="center"/>
      <protection locked="0"/>
    </xf>
    <xf numFmtId="0" fontId="33" fillId="10" borderId="49" xfId="0" applyFont="1" applyFill="1" applyBorder="1" applyAlignment="1" applyProtection="1">
      <alignment horizontal="center" vertical="center"/>
    </xf>
    <xf numFmtId="0" fontId="33" fillId="10" borderId="29" xfId="0" applyFont="1" applyFill="1" applyBorder="1" applyAlignment="1" applyProtection="1">
      <alignment horizontal="center" vertical="center"/>
    </xf>
    <xf numFmtId="0" fontId="33" fillId="10" borderId="30" xfId="0" applyFont="1" applyFill="1" applyBorder="1" applyAlignment="1" applyProtection="1">
      <alignment horizontal="center" vertical="center"/>
    </xf>
    <xf numFmtId="0" fontId="33" fillId="22" borderId="18" xfId="0" applyFont="1" applyFill="1" applyBorder="1" applyAlignment="1" applyProtection="1">
      <alignment horizontal="center" vertical="center"/>
    </xf>
    <xf numFmtId="0" fontId="33" fillId="22" borderId="45" xfId="0" applyFont="1" applyFill="1" applyBorder="1" applyAlignment="1" applyProtection="1">
      <alignment horizontal="center" vertical="center"/>
    </xf>
    <xf numFmtId="0" fontId="33" fillId="22" borderId="54" xfId="0" applyFont="1" applyFill="1" applyBorder="1" applyAlignment="1" applyProtection="1">
      <alignment horizontal="center" vertical="center"/>
    </xf>
    <xf numFmtId="0" fontId="33" fillId="22" borderId="38" xfId="0" applyFont="1" applyFill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16" fillId="13" borderId="2" xfId="0" applyFont="1" applyFill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23" xfId="0" applyFont="1" applyBorder="1" applyAlignment="1" applyProtection="1">
      <alignment horizontal="center" vertical="center" wrapText="1"/>
    </xf>
    <xf numFmtId="10" fontId="16" fillId="13" borderId="2" xfId="0" applyNumberFormat="1" applyFont="1" applyFill="1" applyBorder="1" applyAlignment="1" applyProtection="1">
      <alignment horizontal="center" vertical="center"/>
      <protection locked="0"/>
    </xf>
    <xf numFmtId="0" fontId="16" fillId="0" borderId="31" xfId="0" applyFont="1" applyFill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</xf>
    <xf numFmtId="0" fontId="33" fillId="10" borderId="55" xfId="0" applyFont="1" applyFill="1" applyBorder="1" applyAlignment="1" applyProtection="1">
      <alignment horizontal="center" vertical="center"/>
    </xf>
    <xf numFmtId="0" fontId="33" fillId="10" borderId="51" xfId="0" applyFont="1" applyFill="1" applyBorder="1" applyAlignment="1" applyProtection="1">
      <alignment horizontal="center" vertical="center"/>
    </xf>
    <xf numFmtId="0" fontId="33" fillId="10" borderId="5" xfId="0" applyFont="1" applyFill="1" applyBorder="1" applyAlignment="1" applyProtection="1">
      <alignment horizontal="center" vertical="center"/>
    </xf>
    <xf numFmtId="0" fontId="33" fillId="22" borderId="2" xfId="0" applyFont="1" applyFill="1" applyBorder="1" applyAlignment="1" applyProtection="1">
      <alignment horizontal="center" vertical="center"/>
    </xf>
    <xf numFmtId="0" fontId="33" fillId="22" borderId="55" xfId="0" applyFont="1" applyFill="1" applyBorder="1" applyAlignment="1" applyProtection="1">
      <alignment horizontal="center" vertical="center"/>
    </xf>
    <xf numFmtId="0" fontId="33" fillId="22" borderId="5" xfId="0" applyFont="1" applyFill="1" applyBorder="1" applyAlignment="1" applyProtection="1">
      <alignment horizontal="center" vertical="center"/>
    </xf>
    <xf numFmtId="0" fontId="15" fillId="11" borderId="56" xfId="0" applyFont="1" applyFill="1" applyBorder="1" applyAlignment="1" applyProtection="1">
      <alignment horizontal="center" vertical="center"/>
    </xf>
    <xf numFmtId="0" fontId="10" fillId="2" borderId="44" xfId="0" applyFont="1" applyFill="1" applyBorder="1" applyAlignment="1" applyProtection="1">
      <alignment horizontal="center" vertical="center"/>
    </xf>
    <xf numFmtId="0" fontId="10" fillId="2" borderId="57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</xf>
    <xf numFmtId="0" fontId="16" fillId="13" borderId="31" xfId="0" applyFont="1" applyFill="1" applyBorder="1" applyAlignment="1" applyProtection="1">
      <alignment horizontal="center" vertical="center"/>
      <protection locked="0"/>
    </xf>
    <xf numFmtId="0" fontId="26" fillId="0" borderId="32" xfId="0" applyFont="1" applyBorder="1" applyAlignment="1" applyProtection="1">
      <alignment horizontal="center" vertical="center"/>
    </xf>
    <xf numFmtId="0" fontId="26" fillId="0" borderId="26" xfId="0" applyFont="1" applyBorder="1" applyAlignment="1" applyProtection="1">
      <alignment horizontal="center" vertical="center"/>
    </xf>
    <xf numFmtId="0" fontId="8" fillId="6" borderId="36" xfId="0" applyFont="1" applyFill="1" applyBorder="1" applyAlignment="1" applyProtection="1">
      <alignment horizontal="center" vertical="center" wrapText="1"/>
    </xf>
    <xf numFmtId="0" fontId="8" fillId="6" borderId="55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58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38" xfId="0" applyFont="1" applyFill="1" applyBorder="1" applyAlignment="1" applyProtection="1">
      <alignment horizontal="center" vertical="center" wrapText="1"/>
    </xf>
    <xf numFmtId="0" fontId="10" fillId="10" borderId="15" xfId="0" applyFont="1" applyFill="1" applyBorder="1" applyAlignment="1" applyProtection="1">
      <alignment horizontal="center" vertical="center"/>
    </xf>
    <xf numFmtId="0" fontId="8" fillId="6" borderId="39" xfId="0" applyFont="1" applyFill="1" applyBorder="1" applyAlignment="1" applyProtection="1">
      <alignment horizontal="center" vertical="center" wrapText="1"/>
    </xf>
    <xf numFmtId="0" fontId="8" fillId="6" borderId="30" xfId="0" applyFont="1" applyFill="1" applyBorder="1" applyAlignment="1" applyProtection="1">
      <alignment horizontal="center" vertical="center" wrapText="1"/>
    </xf>
    <xf numFmtId="0" fontId="34" fillId="17" borderId="39" xfId="0" applyFont="1" applyFill="1" applyBorder="1" applyAlignment="1" applyProtection="1">
      <alignment horizontal="center" vertical="center" wrapText="1"/>
    </xf>
    <xf numFmtId="0" fontId="34" fillId="17" borderId="40" xfId="0" applyFont="1" applyFill="1" applyBorder="1" applyAlignment="1" applyProtection="1">
      <alignment horizontal="center" vertical="center" wrapText="1"/>
      <protection locked="0"/>
    </xf>
    <xf numFmtId="0" fontId="34" fillId="17" borderId="59" xfId="0" applyFont="1" applyFill="1" applyBorder="1" applyAlignment="1" applyProtection="1">
      <alignment horizontal="center" vertical="center" wrapText="1"/>
    </xf>
    <xf numFmtId="0" fontId="34" fillId="17" borderId="60" xfId="0" applyFont="1" applyFill="1" applyBorder="1" applyAlignment="1" applyProtection="1">
      <alignment horizontal="center" vertical="center" wrapText="1"/>
    </xf>
    <xf numFmtId="0" fontId="28" fillId="4" borderId="36" xfId="0" applyFont="1" applyFill="1" applyBorder="1" applyAlignment="1" applyProtection="1">
      <alignment horizontal="center" vertical="center"/>
    </xf>
    <xf numFmtId="0" fontId="14" fillId="4" borderId="37" xfId="0" applyFont="1" applyFill="1" applyBorder="1" applyAlignment="1" applyProtection="1">
      <alignment horizontal="center" vertical="center"/>
    </xf>
    <xf numFmtId="0" fontId="14" fillId="4" borderId="38" xfId="0" applyFont="1" applyFill="1" applyBorder="1" applyAlignment="1" applyProtection="1">
      <alignment horizontal="center" vertical="center"/>
    </xf>
    <xf numFmtId="0" fontId="14" fillId="4" borderId="39" xfId="0" applyFont="1" applyFill="1" applyBorder="1" applyAlignment="1" applyProtection="1">
      <alignment horizontal="center" vertical="center"/>
    </xf>
    <xf numFmtId="0" fontId="14" fillId="4" borderId="29" xfId="0" applyFont="1" applyFill="1" applyBorder="1" applyAlignment="1" applyProtection="1">
      <alignment horizontal="center" vertical="center"/>
    </xf>
    <xf numFmtId="0" fontId="14" fillId="4" borderId="30" xfId="0" applyFont="1" applyFill="1" applyBorder="1" applyAlignment="1" applyProtection="1">
      <alignment horizontal="center" vertical="center"/>
    </xf>
    <xf numFmtId="0" fontId="10" fillId="0" borderId="31" xfId="0" applyFont="1" applyFill="1" applyBorder="1" applyProtection="1">
      <alignment vertical="center"/>
    </xf>
    <xf numFmtId="0" fontId="27" fillId="0" borderId="0" xfId="0" applyFont="1" applyFill="1" applyAlignment="1" applyProtection="1">
      <alignment horizontal="center" vertical="center"/>
    </xf>
    <xf numFmtId="0" fontId="27" fillId="0" borderId="40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Alignment="1" applyProtection="1">
      <alignment horizontal="center" vertical="center" wrapText="1"/>
    </xf>
    <xf numFmtId="0" fontId="10" fillId="0" borderId="40" xfId="0" applyFont="1" applyFill="1" applyBorder="1" applyProtection="1">
      <alignment vertical="center"/>
    </xf>
    <xf numFmtId="0" fontId="28" fillId="4" borderId="36" xfId="0" applyFont="1" applyFill="1" applyBorder="1" applyAlignment="1" applyProtection="1">
      <alignment vertical="center"/>
    </xf>
    <xf numFmtId="0" fontId="28" fillId="4" borderId="37" xfId="0" applyFont="1" applyFill="1" applyBorder="1" applyAlignment="1" applyProtection="1">
      <alignment horizontal="center" vertical="center"/>
    </xf>
    <xf numFmtId="0" fontId="28" fillId="4" borderId="38" xfId="0" applyFont="1" applyFill="1" applyBorder="1" applyAlignment="1" applyProtection="1">
      <alignment horizontal="center" vertical="center"/>
    </xf>
    <xf numFmtId="0" fontId="28" fillId="4" borderId="38" xfId="0" applyFont="1" applyFill="1" applyBorder="1" applyAlignment="1" applyProtection="1">
      <alignment vertical="center"/>
    </xf>
    <xf numFmtId="0" fontId="28" fillId="4" borderId="41" xfId="0" applyFont="1" applyFill="1" applyBorder="1" applyAlignment="1" applyProtection="1">
      <alignment vertical="center"/>
    </xf>
    <xf numFmtId="0" fontId="28" fillId="4" borderId="39" xfId="0" applyFont="1" applyFill="1" applyBorder="1" applyAlignment="1" applyProtection="1">
      <alignment horizontal="center" vertical="center"/>
    </xf>
    <xf numFmtId="0" fontId="28" fillId="4" borderId="29" xfId="0" applyFont="1" applyFill="1" applyBorder="1" applyAlignment="1" applyProtection="1">
      <alignment horizontal="center" vertical="center"/>
    </xf>
    <xf numFmtId="0" fontId="28" fillId="4" borderId="30" xfId="0" applyFont="1" applyFill="1" applyBorder="1" applyAlignment="1" applyProtection="1">
      <alignment horizontal="center" vertical="center"/>
    </xf>
    <xf numFmtId="0" fontId="28" fillId="4" borderId="42" xfId="0" applyFont="1" applyFill="1" applyBorder="1" applyAlignment="1" applyProtection="1">
      <alignment vertical="center"/>
    </xf>
    <xf numFmtId="0" fontId="10" fillId="4" borderId="41" xfId="0" applyFont="1" applyFill="1" applyBorder="1" applyProtection="1">
      <alignment vertical="center"/>
    </xf>
    <xf numFmtId="0" fontId="6" fillId="4" borderId="41" xfId="0" applyFont="1" applyFill="1" applyBorder="1" applyAlignment="1" applyProtection="1">
      <alignment horizontal="center" vertical="center"/>
    </xf>
    <xf numFmtId="0" fontId="29" fillId="14" borderId="2" xfId="0" applyFont="1" applyFill="1" applyBorder="1" applyAlignment="1" applyProtection="1">
      <alignment horizontal="center" vertical="center"/>
      <protection locked="0"/>
    </xf>
    <xf numFmtId="0" fontId="30" fillId="4" borderId="0" xfId="0" applyFont="1" applyFill="1" applyAlignment="1" applyProtection="1">
      <alignment horizontal="center" vertical="center" wrapText="1"/>
    </xf>
    <xf numFmtId="0" fontId="30" fillId="4" borderId="42" xfId="0" applyFont="1" applyFill="1" applyBorder="1" applyAlignment="1" applyProtection="1">
      <alignment horizontal="center" vertical="center" wrapText="1"/>
    </xf>
    <xf numFmtId="0" fontId="10" fillId="4" borderId="42" xfId="0" applyFont="1" applyFill="1" applyBorder="1" applyProtection="1">
      <alignment vertical="center"/>
    </xf>
    <xf numFmtId="0" fontId="6" fillId="4" borderId="39" xfId="0" applyFont="1" applyFill="1" applyBorder="1" applyAlignment="1" applyProtection="1">
      <alignment horizontal="center" vertical="center"/>
    </xf>
    <xf numFmtId="0" fontId="30" fillId="4" borderId="29" xfId="0" applyFont="1" applyFill="1" applyBorder="1" applyAlignment="1" applyProtection="1">
      <alignment horizontal="center" vertical="center" wrapText="1"/>
    </xf>
    <xf numFmtId="0" fontId="30" fillId="4" borderId="30" xfId="0" applyFont="1" applyFill="1" applyBorder="1" applyAlignment="1" applyProtection="1">
      <alignment horizontal="center" vertical="center" wrapText="1"/>
    </xf>
    <xf numFmtId="0" fontId="0" fillId="4" borderId="41" xfId="0" applyFill="1" applyBorder="1" applyAlignment="1" applyProtection="1">
      <alignment horizontal="center" vertical="center"/>
    </xf>
    <xf numFmtId="0" fontId="0" fillId="4" borderId="29" xfId="0" applyFill="1" applyBorder="1" applyAlignment="1" applyProtection="1">
      <alignment horizontal="center" vertical="center"/>
    </xf>
    <xf numFmtId="0" fontId="0" fillId="4" borderId="42" xfId="0" applyFill="1" applyBorder="1" applyAlignment="1" applyProtection="1">
      <alignment horizontal="center" vertical="center"/>
    </xf>
    <xf numFmtId="0" fontId="33" fillId="22" borderId="15" xfId="0" applyFont="1" applyFill="1" applyBorder="1" applyAlignment="1" applyProtection="1">
      <alignment horizontal="center" vertical="center"/>
    </xf>
    <xf numFmtId="0" fontId="0" fillId="23" borderId="61" xfId="0" applyFill="1" applyBorder="1" applyAlignment="1" applyProtection="1">
      <alignment horizontal="center" vertical="center"/>
    </xf>
    <xf numFmtId="0" fontId="33" fillId="22" borderId="30" xfId="0" applyFont="1" applyFill="1" applyBorder="1" applyAlignment="1" applyProtection="1">
      <alignment horizontal="center" vertical="center"/>
    </xf>
    <xf numFmtId="0" fontId="33" fillId="22" borderId="40" xfId="0" applyFont="1" applyFill="1" applyBorder="1" applyAlignment="1" applyProtection="1">
      <alignment horizontal="center" vertical="center"/>
    </xf>
    <xf numFmtId="0" fontId="33" fillId="22" borderId="39" xfId="0" applyFont="1" applyFill="1" applyBorder="1" applyAlignment="1" applyProtection="1">
      <alignment horizontal="center" vertical="center"/>
    </xf>
    <xf numFmtId="0" fontId="33" fillId="22" borderId="62" xfId="0" applyFont="1" applyFill="1" applyBorder="1" applyAlignment="1" applyProtection="1">
      <alignment horizontal="center" vertical="center"/>
    </xf>
    <xf numFmtId="0" fontId="0" fillId="23" borderId="61" xfId="0" applyFill="1" applyBorder="1" applyProtection="1">
      <alignment vertical="center"/>
    </xf>
    <xf numFmtId="0" fontId="15" fillId="11" borderId="63" xfId="0" applyFont="1" applyFill="1" applyBorder="1" applyAlignment="1" applyProtection="1">
      <alignment horizontal="center" vertical="center"/>
    </xf>
    <xf numFmtId="0" fontId="16" fillId="0" borderId="40" xfId="0" applyFont="1" applyBorder="1" applyAlignment="1" applyProtection="1">
      <alignment horizontal="center" vertical="center"/>
      <protection locked="0"/>
    </xf>
    <xf numFmtId="0" fontId="15" fillId="0" borderId="44" xfId="0" applyFont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0" fontId="10" fillId="23" borderId="42" xfId="0" applyFont="1" applyFill="1" applyBorder="1" applyProtection="1">
      <alignment vertical="center"/>
    </xf>
    <xf numFmtId="0" fontId="6" fillId="24" borderId="64" xfId="0" applyFont="1" applyFill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 wrapText="1"/>
    </xf>
    <xf numFmtId="0" fontId="26" fillId="0" borderId="0" xfId="0" applyFont="1" applyProtection="1">
      <alignment vertical="center"/>
    </xf>
    <xf numFmtId="0" fontId="6" fillId="24" borderId="65" xfId="0" applyFont="1" applyFill="1" applyBorder="1" applyAlignment="1" applyProtection="1">
      <alignment horizontal="center" vertical="center"/>
    </xf>
    <xf numFmtId="0" fontId="35" fillId="0" borderId="0" xfId="0" applyFont="1" applyFill="1" applyAlignment="1" applyProtection="1">
      <alignment horizontal="center" vertical="center"/>
    </xf>
    <xf numFmtId="0" fontId="33" fillId="23" borderId="31" xfId="0" applyFont="1" applyFill="1" applyBorder="1" applyAlignment="1" applyProtection="1">
      <alignment horizontal="center" vertical="center" wrapText="1"/>
    </xf>
    <xf numFmtId="0" fontId="6" fillId="10" borderId="13" xfId="0" applyFont="1" applyFill="1" applyBorder="1" applyAlignment="1" applyProtection="1">
      <alignment horizontal="center" vertical="center"/>
    </xf>
    <xf numFmtId="0" fontId="30" fillId="0" borderId="0" xfId="0" applyFont="1" applyFill="1" applyProtection="1">
      <alignment vertical="center"/>
    </xf>
    <xf numFmtId="0" fontId="33" fillId="23" borderId="61" xfId="0" applyFont="1" applyFill="1" applyBorder="1" applyAlignment="1" applyProtection="1">
      <alignment horizontal="center" vertical="center" wrapText="1"/>
    </xf>
    <xf numFmtId="0" fontId="6" fillId="10" borderId="66" xfId="0" applyFont="1" applyFill="1" applyBorder="1" applyAlignment="1" applyProtection="1">
      <alignment horizontal="center" vertical="center"/>
    </xf>
    <xf numFmtId="0" fontId="6" fillId="25" borderId="2" xfId="0" applyFont="1" applyFill="1" applyBorder="1" applyAlignment="1" applyProtection="1">
      <alignment horizontal="center" vertical="center"/>
    </xf>
    <xf numFmtId="0" fontId="6" fillId="25" borderId="67" xfId="0" applyFont="1" applyFill="1" applyBorder="1" applyAlignment="1" applyProtection="1">
      <alignment horizontal="center" vertical="center"/>
    </xf>
    <xf numFmtId="0" fontId="6" fillId="25" borderId="68" xfId="0" applyFont="1" applyFill="1" applyBorder="1" applyAlignment="1" applyProtection="1">
      <alignment horizontal="center" vertical="center"/>
    </xf>
    <xf numFmtId="0" fontId="33" fillId="23" borderId="40" xfId="0" applyFont="1" applyFill="1" applyBorder="1" applyAlignment="1" applyProtection="1">
      <alignment horizontal="center" vertical="center" wrapText="1"/>
    </xf>
    <xf numFmtId="0" fontId="6" fillId="24" borderId="68" xfId="0" applyFont="1" applyFill="1" applyBorder="1" applyAlignment="1" applyProtection="1">
      <alignment horizontal="center" vertical="center"/>
    </xf>
    <xf numFmtId="0" fontId="33" fillId="23" borderId="2" xfId="0" applyFont="1" applyFill="1" applyBorder="1" applyAlignment="1" applyProtection="1">
      <alignment horizontal="center" vertical="center" wrapText="1"/>
    </xf>
    <xf numFmtId="0" fontId="6" fillId="24" borderId="14" xfId="0" applyFont="1" applyFill="1" applyBorder="1" applyAlignment="1" applyProtection="1">
      <alignment horizontal="center" vertical="center"/>
    </xf>
    <xf numFmtId="0" fontId="6" fillId="25" borderId="63" xfId="0" applyFont="1" applyFill="1" applyBorder="1" applyAlignment="1" applyProtection="1">
      <alignment horizontal="center" vertical="center"/>
    </xf>
    <xf numFmtId="0" fontId="16" fillId="16" borderId="2" xfId="0" applyFont="1" applyFill="1" applyBorder="1" applyAlignment="1" applyProtection="1">
      <alignment horizontal="center" vertical="center"/>
      <protection locked="0"/>
    </xf>
    <xf numFmtId="0" fontId="6" fillId="25" borderId="69" xfId="0" applyFont="1" applyFill="1" applyBorder="1" applyAlignment="1" applyProtection="1">
      <alignment horizontal="center" vertical="center"/>
    </xf>
    <xf numFmtId="0" fontId="32" fillId="12" borderId="14" xfId="0" applyFont="1" applyFill="1" applyBorder="1" applyAlignment="1" applyProtection="1">
      <alignment horizontal="center" vertical="center"/>
    </xf>
    <xf numFmtId="0" fontId="33" fillId="10" borderId="15" xfId="0" applyFont="1" applyFill="1" applyBorder="1" applyAlignment="1" applyProtection="1">
      <alignment horizontal="center" vertical="center"/>
    </xf>
    <xf numFmtId="0" fontId="6" fillId="10" borderId="5" xfId="0" applyFont="1" applyFill="1" applyBorder="1" applyAlignment="1" applyProtection="1">
      <alignment horizontal="center" vertical="center"/>
    </xf>
    <xf numFmtId="0" fontId="6" fillId="10" borderId="45" xfId="0" applyFont="1" applyFill="1" applyBorder="1" applyAlignment="1" applyProtection="1">
      <alignment horizontal="center" vertical="center"/>
    </xf>
    <xf numFmtId="0" fontId="6" fillId="10" borderId="54" xfId="0" applyFont="1" applyFill="1" applyBorder="1" applyAlignment="1" applyProtection="1">
      <alignment horizontal="center" vertical="center"/>
    </xf>
    <xf numFmtId="0" fontId="6" fillId="10" borderId="70" xfId="0" applyFont="1" applyFill="1" applyBorder="1" applyAlignment="1" applyProtection="1">
      <alignment horizontal="center" vertical="center"/>
    </xf>
    <xf numFmtId="0" fontId="36" fillId="13" borderId="71" xfId="0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10" fillId="0" borderId="64" xfId="0" applyFont="1" applyBorder="1" applyAlignment="1" applyProtection="1">
      <alignment horizontal="center" vertical="center" wrapText="1"/>
    </xf>
    <xf numFmtId="10" fontId="10" fillId="0" borderId="5" xfId="0" applyNumberFormat="1" applyFont="1" applyBorder="1" applyAlignment="1" applyProtection="1">
      <alignment horizontal="center" vertical="center"/>
    </xf>
    <xf numFmtId="10" fontId="10" fillId="0" borderId="5" xfId="0" applyNumberFormat="1" applyFont="1" applyFill="1" applyBorder="1" applyAlignment="1" applyProtection="1">
      <alignment horizontal="center" vertical="center"/>
    </xf>
    <xf numFmtId="0" fontId="10" fillId="0" borderId="69" xfId="0" applyFont="1" applyBorder="1" applyAlignment="1" applyProtection="1">
      <alignment horizontal="center" vertical="center" wrapText="1"/>
    </xf>
    <xf numFmtId="0" fontId="14" fillId="10" borderId="37" xfId="0" applyFont="1" applyFill="1" applyBorder="1" applyAlignment="1" applyProtection="1">
      <alignment horizontal="center" vertical="center"/>
    </xf>
    <xf numFmtId="0" fontId="14" fillId="10" borderId="29" xfId="0" applyFont="1" applyFill="1" applyBorder="1" applyAlignment="1" applyProtection="1">
      <alignment horizontal="center" vertical="center"/>
    </xf>
    <xf numFmtId="0" fontId="15" fillId="11" borderId="11" xfId="0" applyFont="1" applyFill="1" applyBorder="1" applyAlignment="1" applyProtection="1">
      <alignment horizontal="center" vertical="center"/>
    </xf>
    <xf numFmtId="0" fontId="6" fillId="10" borderId="11" xfId="0" applyFont="1" applyFill="1" applyBorder="1" applyAlignment="1" applyProtection="1">
      <alignment horizontal="center" vertical="center"/>
    </xf>
    <xf numFmtId="0" fontId="6" fillId="10" borderId="6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>
      <alignment horizontal="right" vertical="center"/>
    </xf>
    <xf numFmtId="10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17" borderId="6" xfId="0" applyFont="1" applyFill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10" fontId="10" fillId="0" borderId="0" xfId="0" applyNumberFormat="1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10" fillId="0" borderId="72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0" fontId="0" fillId="0" borderId="0" xfId="0" applyNumberForma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21" fillId="0" borderId="37" xfId="0" applyFont="1" applyFill="1" applyBorder="1" applyAlignment="1" applyProtection="1">
      <alignment horizontal="center" vertical="center"/>
    </xf>
    <xf numFmtId="0" fontId="21" fillId="0" borderId="38" xfId="0" applyFont="1" applyFill="1" applyBorder="1" applyAlignment="1" applyProtection="1">
      <alignment horizontal="center" vertical="center"/>
    </xf>
    <xf numFmtId="0" fontId="38" fillId="0" borderId="29" xfId="0" applyFont="1" applyFill="1" applyBorder="1" applyAlignment="1" applyProtection="1">
      <alignment horizontal="center" vertical="center"/>
      <protection locked="0"/>
    </xf>
    <xf numFmtId="0" fontId="38" fillId="0" borderId="30" xfId="0" applyFont="1" applyFill="1" applyBorder="1" applyAlignment="1" applyProtection="1">
      <alignment horizontal="center" vertical="center"/>
      <protection locked="0"/>
    </xf>
    <xf numFmtId="0" fontId="39" fillId="0" borderId="0" xfId="0" applyFont="1" applyFill="1" applyAlignment="1" applyProtection="1">
      <alignment horizontal="center" vertical="center"/>
    </xf>
    <xf numFmtId="0" fontId="15" fillId="11" borderId="57" xfId="0" applyFont="1" applyFill="1" applyBorder="1" applyAlignment="1" applyProtection="1">
      <alignment horizontal="center" vertical="center"/>
    </xf>
    <xf numFmtId="0" fontId="40" fillId="0" borderId="0" xfId="0" applyFont="1" applyFill="1" applyAlignment="1" applyProtection="1">
      <alignment horizontal="center" vertical="center"/>
    </xf>
    <xf numFmtId="0" fontId="6" fillId="18" borderId="6" xfId="0" applyFont="1" applyFill="1" applyBorder="1" applyAlignment="1" applyProtection="1">
      <alignment horizontal="center" vertical="center"/>
    </xf>
    <xf numFmtId="0" fontId="6" fillId="19" borderId="6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6" fillId="10" borderId="23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31" fillId="0" borderId="0" xfId="6" applyFont="1" applyFill="1" applyAlignment="1" applyProtection="1">
      <alignment horizontal="center" vertical="center"/>
    </xf>
    <xf numFmtId="0" fontId="6" fillId="18" borderId="7" xfId="0" applyFont="1" applyFill="1" applyBorder="1" applyAlignment="1" applyProtection="1">
      <alignment horizontal="center" vertical="center"/>
    </xf>
    <xf numFmtId="0" fontId="10" fillId="10" borderId="1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23" borderId="41" xfId="0" applyFill="1" applyBorder="1" applyProtection="1">
      <alignment vertical="center"/>
    </xf>
    <xf numFmtId="0" fontId="6" fillId="25" borderId="25" xfId="0" applyFont="1" applyFill="1" applyBorder="1" applyAlignment="1" applyProtection="1">
      <alignment horizontal="center" vertical="center"/>
    </xf>
    <xf numFmtId="0" fontId="16" fillId="13" borderId="71" xfId="0" applyFont="1" applyFill="1" applyBorder="1" applyAlignment="1" applyProtection="1">
      <alignment horizontal="center" vertical="center"/>
      <protection locked="0"/>
    </xf>
    <xf numFmtId="0" fontId="15" fillId="0" borderId="32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</xf>
    <xf numFmtId="0" fontId="6" fillId="25" borderId="33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73" xfId="0" applyFont="1" applyFill="1" applyBorder="1" applyAlignment="1" applyProtection="1">
      <alignment horizontal="center" vertical="center" wrapText="1"/>
    </xf>
    <xf numFmtId="0" fontId="6" fillId="25" borderId="1" xfId="0" applyFont="1" applyFill="1" applyBorder="1" applyAlignment="1" applyProtection="1">
      <alignment horizontal="center" vertical="center"/>
    </xf>
    <xf numFmtId="0" fontId="15" fillId="0" borderId="63" xfId="0" applyFont="1" applyFill="1" applyBorder="1" applyAlignment="1" applyProtection="1">
      <alignment horizontal="center" vertical="center" wrapText="1"/>
    </xf>
    <xf numFmtId="0" fontId="15" fillId="0" borderId="44" xfId="0" applyFont="1" applyFill="1" applyBorder="1" applyAlignment="1" applyProtection="1">
      <alignment horizontal="center" vertical="center" wrapText="1"/>
    </xf>
    <xf numFmtId="0" fontId="0" fillId="23" borderId="39" xfId="0" applyFill="1" applyBorder="1" applyProtection="1">
      <alignment vertical="center"/>
    </xf>
    <xf numFmtId="0" fontId="6" fillId="23" borderId="29" xfId="0" applyFont="1" applyFill="1" applyBorder="1" applyAlignment="1" applyProtection="1">
      <alignment horizontal="center" vertical="center"/>
    </xf>
    <xf numFmtId="0" fontId="16" fillId="23" borderId="29" xfId="0" applyFont="1" applyFill="1" applyBorder="1" applyAlignment="1" applyProtection="1">
      <alignment horizontal="center" vertical="center"/>
    </xf>
    <xf numFmtId="0" fontId="10" fillId="23" borderId="29" xfId="0" applyFont="1" applyFill="1" applyBorder="1" applyAlignment="1" applyProtection="1">
      <alignment horizontal="center" vertical="center" wrapText="1"/>
    </xf>
    <xf numFmtId="0" fontId="10" fillId="23" borderId="30" xfId="0" applyFont="1" applyFill="1" applyBorder="1" applyProtection="1">
      <alignment vertical="center"/>
    </xf>
    <xf numFmtId="0" fontId="33" fillId="22" borderId="60" xfId="0" applyFont="1" applyFill="1" applyBorder="1" applyAlignment="1" applyProtection="1">
      <alignment horizontal="center" vertical="center"/>
    </xf>
    <xf numFmtId="0" fontId="15" fillId="20" borderId="9" xfId="0" applyFont="1" applyFill="1" applyBorder="1" applyAlignment="1" applyProtection="1">
      <alignment horizontal="center" vertical="center"/>
    </xf>
    <xf numFmtId="0" fontId="16" fillId="20" borderId="2" xfId="0" applyFont="1" applyFill="1" applyBorder="1" applyAlignment="1" applyProtection="1">
      <alignment horizontal="center" vertical="center"/>
      <protection locked="0"/>
    </xf>
    <xf numFmtId="0" fontId="10" fillId="20" borderId="10" xfId="0" applyFont="1" applyFill="1" applyBorder="1" applyAlignment="1" applyProtection="1">
      <alignment horizontal="center" vertical="center" wrapText="1"/>
    </xf>
    <xf numFmtId="0" fontId="10" fillId="20" borderId="6" xfId="0" applyFont="1" applyFill="1" applyBorder="1" applyAlignment="1" applyProtection="1">
      <alignment horizontal="center" vertical="center" wrapText="1"/>
    </xf>
    <xf numFmtId="14" fontId="6" fillId="21" borderId="0" xfId="0" applyNumberFormat="1" applyFont="1" applyFill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 wrapText="1"/>
    </xf>
    <xf numFmtId="14" fontId="15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4" fontId="6" fillId="0" borderId="0" xfId="0" applyNumberFormat="1" applyFont="1" applyFill="1" applyAlignment="1" applyProtection="1">
      <alignment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百分比 2" xfId="51"/>
    <cellStyle name="常规 3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/>
  <colors>
    <mruColors>
      <color rgb="00EBCDEC"/>
      <color rgb="00953A96"/>
      <color rgb="00841111"/>
      <color rgb="00F29595"/>
      <color rgb="00772E77"/>
      <color rgb="00E1B3E2"/>
      <color rgb="00D818C8"/>
      <color rgb="00F8BF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4" Type="http://schemas.openxmlformats.org/officeDocument/2006/relationships/image" Target="../media/image8.png"/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238125</xdr:colOff>
      <xdr:row>2</xdr:row>
      <xdr:rowOff>133350</xdr:rowOff>
    </xdr:from>
    <xdr:to>
      <xdr:col>17</xdr:col>
      <xdr:colOff>821055</xdr:colOff>
      <xdr:row>14</xdr:row>
      <xdr:rowOff>54610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61115" y="1066800"/>
          <a:ext cx="5288280" cy="2791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95</xdr:row>
      <xdr:rowOff>57150</xdr:rowOff>
    </xdr:from>
    <xdr:to>
      <xdr:col>9</xdr:col>
      <xdr:colOff>74295</xdr:colOff>
      <xdr:row>99</xdr:row>
      <xdr:rowOff>158115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8650" y="21640800"/>
          <a:ext cx="7315835" cy="9391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247650</xdr:colOff>
      <xdr:row>94</xdr:row>
      <xdr:rowOff>66675</xdr:rowOff>
    </xdr:from>
    <xdr:to>
      <xdr:col>10</xdr:col>
      <xdr:colOff>111760</xdr:colOff>
      <xdr:row>99</xdr:row>
      <xdr:rowOff>158750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3900" y="21624925"/>
          <a:ext cx="7886700" cy="1139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95250</xdr:colOff>
      <xdr:row>3</xdr:row>
      <xdr:rowOff>47625</xdr:rowOff>
    </xdr:from>
    <xdr:to>
      <xdr:col>15</xdr:col>
      <xdr:colOff>1076325</xdr:colOff>
      <xdr:row>15</xdr:row>
      <xdr:rowOff>74930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94090" y="1133475"/>
          <a:ext cx="5686425" cy="30435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762000</xdr:colOff>
      <xdr:row>13</xdr:row>
      <xdr:rowOff>95250</xdr:rowOff>
    </xdr:from>
    <xdr:to>
      <xdr:col>2</xdr:col>
      <xdr:colOff>28575</xdr:colOff>
      <xdr:row>14</xdr:row>
      <xdr:rowOff>153035</xdr:rowOff>
    </xdr:to>
    <xdr:pic>
      <xdr:nvPicPr>
        <xdr:cNvPr id="2" name="OptionButton1" hidden="1"/>
        <xdr:cNvPicPr/>
      </xdr:nvPicPr>
      <xdr:blipFill>
        <a:blip r:embed="rId1"/>
        <a:stretch>
          <a:fillRect/>
        </a:stretch>
      </xdr:blipFill>
      <xdr:spPr>
        <a:xfrm>
          <a:off x="2171700" y="3009900"/>
          <a:ext cx="914400" cy="2768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96520</xdr:colOff>
      <xdr:row>33</xdr:row>
      <xdr:rowOff>28575</xdr:rowOff>
    </xdr:from>
    <xdr:to>
      <xdr:col>14</xdr:col>
      <xdr:colOff>0</xdr:colOff>
      <xdr:row>33</xdr:row>
      <xdr:rowOff>1762125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48390" y="5927725"/>
          <a:ext cx="1779905" cy="1733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77470</xdr:colOff>
      <xdr:row>33</xdr:row>
      <xdr:rowOff>19050</xdr:rowOff>
    </xdr:from>
    <xdr:to>
      <xdr:col>13</xdr:col>
      <xdr:colOff>0</xdr:colOff>
      <xdr:row>33</xdr:row>
      <xdr:rowOff>1743075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352915" y="5918200"/>
          <a:ext cx="1798955" cy="1724025"/>
        </a:xfrm>
        <a:prstGeom prst="rect">
          <a:avLst/>
        </a:prstGeom>
        <a:noFill/>
        <a:ln w="9525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685800</xdr:colOff>
          <xdr:row>10</xdr:row>
          <xdr:rowOff>0</xdr:rowOff>
        </xdr:from>
        <xdr:to>
          <xdr:col>7</xdr:col>
          <xdr:colOff>55880</xdr:colOff>
          <xdr:row>10</xdr:row>
          <xdr:rowOff>58420</xdr:rowOff>
        </xdr:to>
        <xdr:sp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6230620" y="1714500"/>
              <a:ext cx="104775" cy="5842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14</xdr:col>
      <xdr:colOff>96520</xdr:colOff>
      <xdr:row>33</xdr:row>
      <xdr:rowOff>47625</xdr:rowOff>
    </xdr:from>
    <xdr:to>
      <xdr:col>15</xdr:col>
      <xdr:colOff>0</xdr:colOff>
      <xdr:row>33</xdr:row>
      <xdr:rowOff>1762125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124815" y="5946775"/>
          <a:ext cx="1779905" cy="1714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114300</xdr:rowOff>
    </xdr:from>
    <xdr:to>
      <xdr:col>19</xdr:col>
      <xdr:colOff>517525</xdr:colOff>
      <xdr:row>23</xdr:row>
      <xdr:rowOff>69215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01305" y="114300"/>
          <a:ext cx="9782175" cy="38982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jx3box.com/bps/72325" TargetMode="External"/><Relationship Id="rId8" Type="http://schemas.openxmlformats.org/officeDocument/2006/relationships/hyperlink" Target="https://www.jx3box.com/bps/55091" TargetMode="External"/><Relationship Id="rId7" Type="http://schemas.openxmlformats.org/officeDocument/2006/relationships/hyperlink" Target="https://www.jx3box.com/bps/9665" TargetMode="External"/><Relationship Id="rId6" Type="http://schemas.openxmlformats.org/officeDocument/2006/relationships/hyperlink" Target="https://www.jx3box.com/bps/57157" TargetMode="External"/><Relationship Id="rId5" Type="http://schemas.openxmlformats.org/officeDocument/2006/relationships/hyperlink" Target="https://www.jx3box.com/bps/57028" TargetMode="External"/><Relationship Id="rId4" Type="http://schemas.openxmlformats.org/officeDocument/2006/relationships/hyperlink" Target="https://www.jx3box.com/bps/67177" TargetMode="Externa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0" Type="http://schemas.openxmlformats.org/officeDocument/2006/relationships/hyperlink" Target="https://www.bilibili.com/video/BV1Ne411Q7DJ" TargetMode="Externa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jx3box.com/bps/72325" TargetMode="External"/><Relationship Id="rId8" Type="http://schemas.openxmlformats.org/officeDocument/2006/relationships/hyperlink" Target="https://www.jx3box.com/bps/55091" TargetMode="External"/><Relationship Id="rId7" Type="http://schemas.openxmlformats.org/officeDocument/2006/relationships/hyperlink" Target="https://www.jx3box.com/bps/9665" TargetMode="External"/><Relationship Id="rId6" Type="http://schemas.openxmlformats.org/officeDocument/2006/relationships/hyperlink" Target="https://www.jx3box.com/bps/57157" TargetMode="External"/><Relationship Id="rId5" Type="http://schemas.openxmlformats.org/officeDocument/2006/relationships/hyperlink" Target="https://www.jx3box.com/bps/57028" TargetMode="External"/><Relationship Id="rId4" Type="http://schemas.openxmlformats.org/officeDocument/2006/relationships/hyperlink" Target="https://www.jx3box.com/bps/67177" TargetMode="External"/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0" Type="http://schemas.openxmlformats.org/officeDocument/2006/relationships/hyperlink" Target="https://www.bilibili.com/video/BV1Ne411Q7DJ" TargetMode="Externa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4" Type="http://schemas.openxmlformats.org/officeDocument/2006/relationships/image" Target="../media/image9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E162"/>
  <sheetViews>
    <sheetView tabSelected="1" workbookViewId="0">
      <selection activeCell="D5" sqref="D5"/>
    </sheetView>
  </sheetViews>
  <sheetFormatPr defaultColWidth="9.64166666666667" defaultRowHeight="13.5"/>
  <cols>
    <col min="1" max="2" width="3.125" style="250" customWidth="1"/>
    <col min="3" max="3" width="18.75" style="250" customWidth="1"/>
    <col min="4" max="4" width="25.625" style="250" customWidth="1"/>
    <col min="5" max="6" width="9.64166666666667" style="250"/>
    <col min="7" max="7" width="3.125" style="250" customWidth="1"/>
    <col min="8" max="9" width="15.125" style="250" customWidth="1"/>
    <col min="10" max="11" width="15" style="250" customWidth="1"/>
    <col min="12" max="12" width="14" style="250" customWidth="1"/>
    <col min="13" max="13" width="11.75" style="250" customWidth="1"/>
    <col min="14" max="14" width="10.125" style="250" customWidth="1"/>
    <col min="15" max="15" width="16.25" style="250" customWidth="1"/>
    <col min="16" max="16" width="14" style="250" customWidth="1"/>
    <col min="17" max="17" width="9.625" style="250" customWidth="1"/>
    <col min="18" max="19" width="14" style="250" customWidth="1"/>
    <col min="20" max="20" width="13.375" style="250" customWidth="1"/>
    <col min="21" max="22" width="9.64166666666667" style="250"/>
    <col min="23" max="23" width="13.375" style="250" customWidth="1"/>
    <col min="24" max="16383" width="9.64166666666667" style="250"/>
  </cols>
  <sheetData>
    <row r="2" ht="60" customHeight="1" spans="3:19">
      <c r="C2" s="251" t="s">
        <v>0</v>
      </c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439"/>
    </row>
    <row r="3" s="249" customFormat="1" ht="12" customHeight="1" spans="3:19">
      <c r="C3" s="252"/>
      <c r="D3" s="252"/>
      <c r="E3" s="252"/>
      <c r="F3" s="252"/>
      <c r="G3" s="253"/>
      <c r="H3" s="253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</row>
    <row r="4" s="249" customFormat="1" ht="23" customHeight="1" spans="3:19">
      <c r="C4" s="254" t="s">
        <v>1</v>
      </c>
      <c r="D4" s="255"/>
      <c r="E4" s="256"/>
      <c r="F4" s="257"/>
      <c r="G4" s="253"/>
      <c r="H4" s="258" t="s">
        <v>2</v>
      </c>
      <c r="I4" s="258" t="s">
        <v>3</v>
      </c>
      <c r="J4" s="252"/>
      <c r="K4" s="252"/>
      <c r="L4" s="252"/>
      <c r="M4" s="252"/>
      <c r="N4" s="252"/>
      <c r="O4" s="252"/>
      <c r="P4" s="252"/>
      <c r="Q4" s="252"/>
      <c r="R4" s="252"/>
      <c r="S4" s="252"/>
    </row>
    <row r="5" s="249" customFormat="1" ht="36" customHeight="1" spans="3:19">
      <c r="C5" s="259" t="s">
        <v>4</v>
      </c>
      <c r="D5" s="260" t="s">
        <v>5</v>
      </c>
      <c r="E5" s="261" t="s">
        <v>6</v>
      </c>
      <c r="F5" s="262"/>
      <c r="G5" s="253"/>
      <c r="H5" s="263">
        <f>属性计算面板!B10</f>
        <v>726176</v>
      </c>
      <c r="I5" s="403">
        <f>属性计算面板!B11</f>
        <v>700658</v>
      </c>
      <c r="J5" s="252"/>
      <c r="K5" s="252"/>
      <c r="L5" s="252"/>
      <c r="M5" s="252"/>
      <c r="N5" s="252"/>
      <c r="O5" s="252"/>
      <c r="P5" s="252"/>
      <c r="Q5" s="252"/>
      <c r="R5" s="252"/>
      <c r="S5" s="252"/>
    </row>
    <row r="6" s="249" customFormat="1" ht="17" customHeight="1" spans="3:19">
      <c r="C6" s="264" t="s">
        <v>7</v>
      </c>
      <c r="D6" s="265"/>
      <c r="E6" s="265"/>
      <c r="F6" s="266"/>
      <c r="G6" s="267"/>
      <c r="H6" s="268" t="s">
        <v>8</v>
      </c>
      <c r="I6" s="404"/>
      <c r="J6" s="404"/>
      <c r="K6" s="264" t="s">
        <v>9</v>
      </c>
      <c r="L6" s="405"/>
      <c r="M6" s="252"/>
      <c r="N6" s="252"/>
      <c r="O6" s="252"/>
      <c r="P6" s="252"/>
      <c r="Q6" s="252"/>
      <c r="R6" s="252"/>
      <c r="S6" s="252"/>
    </row>
    <row r="7" s="249" customFormat="1" ht="17.25" customHeight="1" spans="3:19">
      <c r="C7" s="269" t="s">
        <v>10</v>
      </c>
      <c r="D7" s="270" t="s">
        <v>11</v>
      </c>
      <c r="E7" s="271"/>
      <c r="F7" s="269" t="s">
        <v>12</v>
      </c>
      <c r="G7" s="253"/>
      <c r="H7" s="272" t="s">
        <v>13</v>
      </c>
      <c r="I7" s="406" t="s">
        <v>14</v>
      </c>
      <c r="J7" s="407" t="s">
        <v>15</v>
      </c>
      <c r="K7" s="408" t="s">
        <v>16</v>
      </c>
      <c r="L7" s="409">
        <v>100</v>
      </c>
      <c r="M7" s="410"/>
      <c r="N7" s="410"/>
      <c r="O7" s="252"/>
      <c r="P7" s="252"/>
      <c r="Q7" s="252"/>
      <c r="R7" s="252"/>
      <c r="S7" s="252"/>
    </row>
    <row r="8" s="249" customFormat="1" ht="17.25" customHeight="1" spans="3:19">
      <c r="C8" s="273" t="s">
        <v>17</v>
      </c>
      <c r="D8" s="274" t="s">
        <v>18</v>
      </c>
      <c r="E8" s="275"/>
      <c r="F8" s="276" t="s">
        <v>19</v>
      </c>
      <c r="G8" s="253"/>
      <c r="H8" s="277" t="s">
        <v>20</v>
      </c>
      <c r="I8" s="411">
        <f>属性计算面板!F2</f>
        <v>34400</v>
      </c>
      <c r="J8" s="412" t="s">
        <v>21</v>
      </c>
      <c r="K8" s="264" t="str">
        <f>'属性收益计算&amp;备注'!V24</f>
        <v>基础攻击收益</v>
      </c>
      <c r="L8" s="413">
        <f>'属性收益计算&amp;备注'!W24</f>
        <v>1</v>
      </c>
      <c r="M8" s="410"/>
      <c r="N8" s="410"/>
      <c r="O8" s="252"/>
      <c r="P8" s="252"/>
      <c r="Q8" s="252"/>
      <c r="R8" s="252"/>
      <c r="S8" s="252"/>
    </row>
    <row r="9" s="249" customFormat="1" ht="17.25" customHeight="1" spans="3:19">
      <c r="C9" s="277" t="s">
        <v>22</v>
      </c>
      <c r="D9" s="278" t="s">
        <v>23</v>
      </c>
      <c r="E9" s="279"/>
      <c r="F9" s="280" t="s">
        <v>24</v>
      </c>
      <c r="G9" s="253"/>
      <c r="H9" s="277" t="s">
        <v>25</v>
      </c>
      <c r="I9" s="411">
        <f>属性计算面板!F3</f>
        <v>45792</v>
      </c>
      <c r="J9" s="412"/>
      <c r="K9" s="264" t="str">
        <f>'属性收益计算&amp;备注'!V25</f>
        <v>根骨收益</v>
      </c>
      <c r="L9" s="413">
        <f>'属性收益计算&amp;备注'!W25</f>
        <v>0.614057187058514</v>
      </c>
      <c r="M9" s="410"/>
      <c r="N9" s="410"/>
      <c r="O9" s="252"/>
      <c r="P9" s="252"/>
      <c r="Q9" s="252"/>
      <c r="R9" s="252"/>
      <c r="S9" s="252"/>
    </row>
    <row r="10" s="249" customFormat="1" ht="17.25" customHeight="1" spans="3:19">
      <c r="C10" s="277" t="s">
        <v>26</v>
      </c>
      <c r="D10" s="278" t="s">
        <v>27</v>
      </c>
      <c r="E10" s="279"/>
      <c r="F10" s="280" t="s">
        <v>24</v>
      </c>
      <c r="G10" s="253"/>
      <c r="H10" s="277" t="s">
        <v>28</v>
      </c>
      <c r="I10" s="204">
        <f>属性计算面板!F4</f>
        <v>0.3594</v>
      </c>
      <c r="J10" s="412"/>
      <c r="K10" s="264" t="str">
        <f>'属性收益计算&amp;备注'!V26</f>
        <v>会心收益</v>
      </c>
      <c r="L10" s="413">
        <f>'属性收益计算&amp;备注'!W26</f>
        <v>0.972545269954502</v>
      </c>
      <c r="M10" s="410"/>
      <c r="N10" s="410"/>
      <c r="O10" s="252"/>
      <c r="P10" s="252"/>
      <c r="Q10" s="252"/>
      <c r="R10" s="252"/>
      <c r="S10" s="252"/>
    </row>
    <row r="11" s="249" customFormat="1" ht="17.25" customHeight="1" spans="3:19">
      <c r="C11" s="277" t="s">
        <v>29</v>
      </c>
      <c r="D11" s="278" t="s">
        <v>30</v>
      </c>
      <c r="E11" s="279"/>
      <c r="F11" s="280" t="s">
        <v>31</v>
      </c>
      <c r="G11" s="253"/>
      <c r="H11" s="277" t="s">
        <v>32</v>
      </c>
      <c r="I11" s="204">
        <f>属性计算面板!F5</f>
        <v>1.8502</v>
      </c>
      <c r="J11" s="412"/>
      <c r="K11" s="264" t="str">
        <f>'属性收益计算&amp;备注'!V27</f>
        <v>会效收益</v>
      </c>
      <c r="L11" s="414">
        <f>'属性收益计算&amp;备注'!W27</f>
        <v>1.34540800704766</v>
      </c>
      <c r="M11" s="410"/>
      <c r="N11" s="410"/>
      <c r="O11" s="252"/>
      <c r="P11" s="252"/>
      <c r="Q11" s="252"/>
      <c r="R11" s="252"/>
      <c r="S11" s="252"/>
    </row>
    <row r="12" s="249" customFormat="1" ht="17.25" customHeight="1" spans="3:19">
      <c r="C12" s="277" t="s">
        <v>33</v>
      </c>
      <c r="D12" s="278" t="s">
        <v>34</v>
      </c>
      <c r="E12" s="279"/>
      <c r="F12" s="280" t="s">
        <v>31</v>
      </c>
      <c r="G12" s="253"/>
      <c r="H12" s="277" t="s">
        <v>35</v>
      </c>
      <c r="I12" s="204">
        <f>属性计算面板!F6</f>
        <v>0.472</v>
      </c>
      <c r="J12" s="412"/>
      <c r="K12" s="264" t="str">
        <f>'属性收益计算&amp;备注'!V28</f>
        <v>破防收益</v>
      </c>
      <c r="L12" s="413">
        <f>'属性收益计算&amp;备注'!W28</f>
        <v>0.929612002513953</v>
      </c>
      <c r="M12" s="410"/>
      <c r="N12" s="410"/>
      <c r="O12" s="252"/>
      <c r="P12" s="252"/>
      <c r="Q12" s="252"/>
      <c r="R12" s="252"/>
      <c r="S12" s="252"/>
    </row>
    <row r="13" s="249" customFormat="1" ht="17.25" customHeight="1" spans="3:19">
      <c r="C13" s="277" t="s">
        <v>36</v>
      </c>
      <c r="D13" s="278" t="s">
        <v>37</v>
      </c>
      <c r="E13" s="279"/>
      <c r="F13" s="280" t="s">
        <v>19</v>
      </c>
      <c r="G13" s="253"/>
      <c r="H13" s="277" t="s">
        <v>38</v>
      </c>
      <c r="I13" s="204">
        <f>属性计算面板!F7</f>
        <v>0.3473</v>
      </c>
      <c r="J13" s="412"/>
      <c r="K13" s="264" t="str">
        <f>'属性收益计算&amp;备注'!V29</f>
        <v>无双收益</v>
      </c>
      <c r="L13" s="413">
        <f>'属性收益计算&amp;备注'!W29</f>
        <v>1.06538157831125</v>
      </c>
      <c r="M13" s="410"/>
      <c r="N13" s="410"/>
      <c r="O13" s="252"/>
      <c r="P13" s="252"/>
      <c r="Q13" s="252"/>
      <c r="R13" s="252"/>
      <c r="S13" s="252"/>
    </row>
    <row r="14" s="249" customFormat="1" ht="17.25" customHeight="1" spans="3:19">
      <c r="C14" s="277" t="s">
        <v>39</v>
      </c>
      <c r="D14" s="278" t="s">
        <v>40</v>
      </c>
      <c r="E14" s="279"/>
      <c r="F14" s="280" t="s">
        <v>41</v>
      </c>
      <c r="G14" s="253"/>
      <c r="H14" s="281" t="s">
        <v>42</v>
      </c>
      <c r="I14" s="411">
        <f>属性计算面板!F8</f>
        <v>21804</v>
      </c>
      <c r="J14" s="415"/>
      <c r="K14" s="264" t="str">
        <f>'属性收益计算&amp;备注'!V30</f>
        <v>破招收益</v>
      </c>
      <c r="L14" s="413">
        <f>'属性收益计算&amp;备注'!W30</f>
        <v>1.17527033052036</v>
      </c>
      <c r="M14" s="410"/>
      <c r="N14" s="410"/>
      <c r="O14" s="252"/>
      <c r="P14" s="252"/>
      <c r="Q14" s="252"/>
      <c r="R14" s="252"/>
      <c r="S14" s="252"/>
    </row>
    <row r="15" s="249" customFormat="1" ht="17.25" customHeight="1" spans="3:19">
      <c r="C15" s="277" t="s">
        <v>43</v>
      </c>
      <c r="D15" s="278" t="s">
        <v>44</v>
      </c>
      <c r="E15" s="279"/>
      <c r="F15" s="280" t="s">
        <v>41</v>
      </c>
      <c r="G15" s="253"/>
      <c r="H15" s="253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</row>
    <row r="16" s="249" customFormat="1" ht="17.25" customHeight="1" spans="3:19">
      <c r="C16" s="277" t="s">
        <v>45</v>
      </c>
      <c r="D16" s="278" t="s">
        <v>46</v>
      </c>
      <c r="E16" s="279"/>
      <c r="F16" s="280" t="s">
        <v>19</v>
      </c>
      <c r="G16" s="253"/>
      <c r="H16" s="282" t="s">
        <v>47</v>
      </c>
      <c r="I16" s="416"/>
      <c r="J16" s="416"/>
      <c r="K16" s="416"/>
      <c r="L16" s="416"/>
      <c r="M16" s="416"/>
      <c r="N16" s="416"/>
      <c r="O16" s="416"/>
      <c r="P16" s="416"/>
      <c r="Q16" s="440" t="s">
        <v>48</v>
      </c>
      <c r="R16" s="441"/>
      <c r="S16" s="387" t="s">
        <v>49</v>
      </c>
    </row>
    <row r="17" s="249" customFormat="1" ht="17.25" customHeight="1" spans="3:19">
      <c r="C17" s="277" t="s">
        <v>45</v>
      </c>
      <c r="D17" s="278" t="s">
        <v>46</v>
      </c>
      <c r="E17" s="279"/>
      <c r="F17" s="280" t="s">
        <v>19</v>
      </c>
      <c r="G17" s="253"/>
      <c r="H17" s="283"/>
      <c r="I17" s="417"/>
      <c r="J17" s="417"/>
      <c r="K17" s="417"/>
      <c r="L17" s="417"/>
      <c r="M17" s="417"/>
      <c r="N17" s="417"/>
      <c r="O17" s="417"/>
      <c r="P17" s="417"/>
      <c r="Q17" s="442" t="s">
        <v>50</v>
      </c>
      <c r="R17" s="443"/>
      <c r="S17" s="444"/>
    </row>
    <row r="18" s="249" customFormat="1" ht="17.25" customHeight="1" spans="3:19">
      <c r="C18" s="277" t="s">
        <v>51</v>
      </c>
      <c r="D18" s="278" t="s">
        <v>52</v>
      </c>
      <c r="E18" s="279"/>
      <c r="F18" s="280" t="s">
        <v>53</v>
      </c>
      <c r="G18" s="253"/>
      <c r="H18" s="284" t="str">
        <f>'按提示输入属性 (老版)'!I24</f>
        <v>序号</v>
      </c>
      <c r="I18" s="418" t="str">
        <f>'按提示输入属性 (老版)'!J24</f>
        <v>技能名称</v>
      </c>
      <c r="J18" s="419" t="str">
        <f>'按提示输入属性 (老版)'!K24</f>
        <v>紫武推荐技能数</v>
      </c>
      <c r="K18" s="419" t="str">
        <f>'按提示输入属性 (老版)'!L24</f>
        <v>橙武推荐技能数</v>
      </c>
      <c r="L18" s="418" t="str">
        <f>'按提示输入属性 (老版)'!M24</f>
        <v>当前计算次数</v>
      </c>
      <c r="M18" s="418" t="str">
        <f>'按提示输入属性 (老版)'!N24</f>
        <v>伤害</v>
      </c>
      <c r="N18" s="418" t="str">
        <f>'按提示输入属性 (老版)'!O24</f>
        <v>比重</v>
      </c>
      <c r="O18" s="418" t="str">
        <f>'按提示输入属性 (老版)'!P24</f>
        <v>不可修改技能数</v>
      </c>
      <c r="P18" s="418" t="str">
        <f>'按提示输入属性 (老版)'!Q24</f>
        <v>可调整技能数</v>
      </c>
      <c r="Q18" s="418" t="str">
        <f>'按提示输入属性 (老版)'!R24</f>
        <v>是否可调</v>
      </c>
      <c r="R18" s="445" t="str">
        <f>'按提示输入属性 (老版)'!S24</f>
        <v>如何提升？</v>
      </c>
      <c r="S18" s="446"/>
    </row>
    <row r="19" s="249" customFormat="1" ht="17.25" customHeight="1" spans="3:19">
      <c r="C19" s="285" t="s">
        <v>54</v>
      </c>
      <c r="D19" s="286" t="s">
        <v>55</v>
      </c>
      <c r="E19" s="287"/>
      <c r="F19" s="288" t="s">
        <v>56</v>
      </c>
      <c r="G19" s="253"/>
      <c r="H19" s="289">
        <f>'伤害统计(理想)'!N40</f>
        <v>1</v>
      </c>
      <c r="I19" s="289" t="str">
        <f>'伤害统计(理想)'!O40</f>
        <v>破</v>
      </c>
      <c r="J19" s="420">
        <v>91</v>
      </c>
      <c r="K19" s="420">
        <v>106</v>
      </c>
      <c r="L19" s="421">
        <f>'伤害统计(理想)'!P40</f>
        <v>91</v>
      </c>
      <c r="M19" s="422">
        <f>'伤害统计(理想)'!Q40</f>
        <v>50882445</v>
      </c>
      <c r="N19" s="423">
        <f>'伤害统计(理想)'!R40</f>
        <v>0.235591999359747</v>
      </c>
      <c r="O19" s="424">
        <f>L19</f>
        <v>91</v>
      </c>
      <c r="P19" s="425">
        <f>'按提示输入属性 (老版)'!Q25</f>
        <v>0</v>
      </c>
      <c r="Q19" s="447" t="str">
        <f>'按提示输入属性 (老版)'!R25</f>
        <v>不可调整</v>
      </c>
      <c r="R19" s="229" t="s">
        <v>57</v>
      </c>
      <c r="S19" s="252"/>
    </row>
    <row r="20" s="249" customFormat="1" ht="17.25" customHeight="1" spans="3:19">
      <c r="C20" s="285" t="s">
        <v>58</v>
      </c>
      <c r="D20" s="290" t="s">
        <v>59</v>
      </c>
      <c r="E20" s="291"/>
      <c r="F20" s="292"/>
      <c r="G20" s="253"/>
      <c r="H20" s="289">
        <f>'伤害统计(理想)'!N41</f>
        <v>2</v>
      </c>
      <c r="I20" s="289" t="str">
        <f>'伤害统计(理想)'!O41</f>
        <v>飞剑</v>
      </c>
      <c r="J20" s="420">
        <v>610</v>
      </c>
      <c r="K20" s="420">
        <f>'按提示输入属性 (老版)'!L26</f>
        <v>520</v>
      </c>
      <c r="L20" s="421">
        <f>'伤害统计(理想)'!P41</f>
        <v>610</v>
      </c>
      <c r="M20" s="422">
        <f>'伤害统计(理想)'!Q41</f>
        <v>67946513</v>
      </c>
      <c r="N20" s="423">
        <f>'伤害统计(理想)'!R41</f>
        <v>0.314600739944651</v>
      </c>
      <c r="O20" s="424">
        <f>'伤害统计(理想)'!M39</f>
        <v>115</v>
      </c>
      <c r="P20" s="230">
        <v>505</v>
      </c>
      <c r="Q20" s="448" t="str">
        <f>'按提示输入属性 (老版)'!R26</f>
        <v>可调整</v>
      </c>
      <c r="R20" s="229" t="s">
        <v>57</v>
      </c>
      <c r="S20" s="252"/>
    </row>
    <row r="21" s="249" customFormat="1" ht="17.25" customHeight="1" spans="3:19">
      <c r="C21" s="281" t="s">
        <v>60</v>
      </c>
      <c r="D21" s="293" t="s">
        <v>61</v>
      </c>
      <c r="E21" s="294"/>
      <c r="F21" s="295"/>
      <c r="G21" s="253"/>
      <c r="H21" s="289">
        <f>'伤害统计(理想)'!N42</f>
        <v>3</v>
      </c>
      <c r="I21" s="289" t="str">
        <f>'伤害统计(理想)'!O42</f>
        <v>两仪</v>
      </c>
      <c r="J21" s="420">
        <v>84</v>
      </c>
      <c r="K21" s="420">
        <v>71</v>
      </c>
      <c r="L21" s="421">
        <f>'伤害统计(理想)'!P42</f>
        <v>84</v>
      </c>
      <c r="M21" s="422">
        <f>'伤害统计(理想)'!Q42</f>
        <v>28818379</v>
      </c>
      <c r="N21" s="423">
        <f>'伤害统计(理想)'!R42</f>
        <v>0.133432651023687</v>
      </c>
      <c r="O21" s="424">
        <f>'伤害统计(理想)'!M47</f>
        <v>30</v>
      </c>
      <c r="P21" s="230">
        <v>44</v>
      </c>
      <c r="Q21" s="448" t="str">
        <f>'按提示输入属性 (老版)'!R27</f>
        <v>可调整</v>
      </c>
      <c r="R21" s="229" t="s">
        <v>57</v>
      </c>
      <c r="S21" s="252"/>
    </row>
    <row r="22" s="249" customFormat="1" ht="17" customHeight="1" spans="3:19">
      <c r="C22" s="296" t="s">
        <v>62</v>
      </c>
      <c r="D22" s="297"/>
      <c r="E22" s="297"/>
      <c r="F22" s="298"/>
      <c r="G22" s="253"/>
      <c r="H22" s="289">
        <f>'伤害统计(理想)'!N43</f>
        <v>4</v>
      </c>
      <c r="I22" s="289" t="str">
        <f>'伤害统计(理想)'!O43</f>
        <v>颠越苍穹击</v>
      </c>
      <c r="J22" s="420">
        <f>'按提示输入属性 (老版)'!K28</f>
        <v>168</v>
      </c>
      <c r="K22" s="420">
        <f>'按提示输入属性 (老版)'!L28</f>
        <v>168</v>
      </c>
      <c r="L22" s="421">
        <f>'伤害统计(理想)'!P43</f>
        <v>168</v>
      </c>
      <c r="M22" s="422">
        <f>'伤害统计(理想)'!Q43</f>
        <v>21612014</v>
      </c>
      <c r="N22" s="423">
        <f>'伤害统计(理想)'!R43</f>
        <v>0.100066291791812</v>
      </c>
      <c r="O22" s="424">
        <f>'伤害统计(理想)'!M44</f>
        <v>168</v>
      </c>
      <c r="P22" s="425">
        <v>0</v>
      </c>
      <c r="Q22" s="447" t="str">
        <f>'按提示输入属性 (老版)'!R28</f>
        <v>不可调整</v>
      </c>
      <c r="R22" s="229" t="s">
        <v>57</v>
      </c>
      <c r="S22" s="252"/>
    </row>
    <row r="23" ht="17" customHeight="1" spans="3:19">
      <c r="C23" s="299" t="s">
        <v>13</v>
      </c>
      <c r="D23" s="300" t="s">
        <v>14</v>
      </c>
      <c r="E23" s="301" t="s">
        <v>15</v>
      </c>
      <c r="F23" s="302"/>
      <c r="G23" s="303"/>
      <c r="H23" s="289">
        <f>'伤害统计(理想)'!N44</f>
        <v>5</v>
      </c>
      <c r="I23" s="289" t="str">
        <f>'伤害统计(理想)'!O44</f>
        <v>六合</v>
      </c>
      <c r="J23" s="420">
        <f>'按提示输入属性 (老版)'!K29</f>
        <v>93</v>
      </c>
      <c r="K23" s="420">
        <f>'按提示输入属性 (老版)'!L29</f>
        <v>93</v>
      </c>
      <c r="L23" s="421">
        <f>'伤害统计(理想)'!P44</f>
        <v>93</v>
      </c>
      <c r="M23" s="422">
        <f>'伤害统计(理想)'!Q44</f>
        <v>13289482</v>
      </c>
      <c r="N23" s="423">
        <f>'伤害统计(理想)'!R44</f>
        <v>0.0615319416123844</v>
      </c>
      <c r="O23" s="424">
        <v>93</v>
      </c>
      <c r="P23" s="425">
        <v>0</v>
      </c>
      <c r="Q23" s="447" t="str">
        <f>'按提示输入属性 (老版)'!R29</f>
        <v>可调整</v>
      </c>
      <c r="R23" s="229" t="s">
        <v>57</v>
      </c>
      <c r="S23" s="449"/>
    </row>
    <row r="24" ht="17.25" spans="3:21">
      <c r="C24" s="277" t="s">
        <v>20</v>
      </c>
      <c r="D24" s="304">
        <v>33230</v>
      </c>
      <c r="E24" s="305" t="s">
        <v>63</v>
      </c>
      <c r="F24" s="306"/>
      <c r="G24" s="303"/>
      <c r="H24" s="289">
        <f>'伤害统计(理想)'!N45</f>
        <v>6</v>
      </c>
      <c r="I24" s="289" t="str">
        <f>'伤害统计(理想)'!O45</f>
        <v>四象</v>
      </c>
      <c r="J24" s="420">
        <v>65</v>
      </c>
      <c r="K24" s="420">
        <v>54</v>
      </c>
      <c r="L24" s="421">
        <f>'伤害统计(理想)'!P45</f>
        <v>65</v>
      </c>
      <c r="M24" s="422">
        <f>'伤害统计(理想)'!Q45</f>
        <v>26849390</v>
      </c>
      <c r="N24" s="423">
        <f>'伤害统计(理想)'!R45</f>
        <v>0.124315988975954</v>
      </c>
      <c r="O24" s="424">
        <f>'伤害统计(理想)'!M46</f>
        <v>0</v>
      </c>
      <c r="P24" s="230">
        <v>64</v>
      </c>
      <c r="Q24" s="448" t="str">
        <f>'按提示输入属性 (老版)'!R30</f>
        <v>可调整</v>
      </c>
      <c r="R24" s="450" t="s">
        <v>64</v>
      </c>
      <c r="S24" s="436"/>
      <c r="T24" s="451"/>
      <c r="U24" s="451"/>
    </row>
    <row r="25" ht="17.25" spans="3:31">
      <c r="C25" s="277" t="s">
        <v>25</v>
      </c>
      <c r="D25" s="304">
        <v>44622</v>
      </c>
      <c r="E25" s="305"/>
      <c r="F25" s="306"/>
      <c r="G25" s="303"/>
      <c r="H25" s="289">
        <f>'伤害统计(理想)'!N46</f>
        <v>7</v>
      </c>
      <c r="I25" s="289" t="str">
        <f>'伤害统计(理想)'!O46</f>
        <v>万世不竭</v>
      </c>
      <c r="J25" s="420" t="s">
        <v>65</v>
      </c>
      <c r="K25" s="420" t="s">
        <v>65</v>
      </c>
      <c r="L25" s="421">
        <f>'伤害统计(理想)'!P46</f>
        <v>7</v>
      </c>
      <c r="M25" s="422">
        <f>'伤害统计(理想)'!Q46</f>
        <v>4554092</v>
      </c>
      <c r="N25" s="423">
        <f>'伤害统计(理想)'!R46</f>
        <v>0.0210860079453381</v>
      </c>
      <c r="O25" s="424">
        <f>'伤害统计(理想)'!M38</f>
        <v>7</v>
      </c>
      <c r="P25" s="424">
        <v>0</v>
      </c>
      <c r="Q25" s="447" t="str">
        <f>'按提示输入属性 (老版)'!R31</f>
        <v>不可调整</v>
      </c>
      <c r="R25" s="229" t="s">
        <v>57</v>
      </c>
      <c r="S25" s="452"/>
      <c r="W25" s="438"/>
      <c r="X25" s="438"/>
      <c r="Y25" s="438"/>
      <c r="Z25" s="451"/>
      <c r="AA25" s="451"/>
      <c r="AB25" s="451"/>
      <c r="AC25" s="451"/>
      <c r="AD25" s="451"/>
      <c r="AE25" s="451"/>
    </row>
    <row r="26" ht="17.25" spans="3:31">
      <c r="C26" s="277" t="s">
        <v>28</v>
      </c>
      <c r="D26" s="307">
        <v>0.3594</v>
      </c>
      <c r="E26" s="305"/>
      <c r="F26" s="306"/>
      <c r="G26" s="303"/>
      <c r="H26" s="289">
        <f>'伤害统计(理想)'!N47</f>
        <v>8</v>
      </c>
      <c r="I26" s="289" t="str">
        <f>'伤害统计(理想)'!O47</f>
        <v>空啸太玄剑</v>
      </c>
      <c r="J26" s="420">
        <f>'按提示输入属性 (老版)'!K32</f>
        <v>0</v>
      </c>
      <c r="K26" s="420">
        <f>'按提示输入属性 (老版)'!L32</f>
        <v>0</v>
      </c>
      <c r="L26" s="426">
        <f>'伤害统计(理想)'!P47</f>
        <v>0</v>
      </c>
      <c r="M26" s="422">
        <f>'伤害统计(理想)'!Q47</f>
        <v>0</v>
      </c>
      <c r="N26" s="423">
        <f>'伤害统计(理想)'!R47</f>
        <v>0</v>
      </c>
      <c r="O26" s="424">
        <f>'伤害统计(理想)'!L63</f>
        <v>0</v>
      </c>
      <c r="P26" s="424">
        <v>0</v>
      </c>
      <c r="Q26" s="447" t="str">
        <f>'按提示输入属性 (老版)'!R32</f>
        <v>不可调整</v>
      </c>
      <c r="R26" s="229" t="s">
        <v>57</v>
      </c>
      <c r="S26" s="452"/>
      <c r="W26" s="431"/>
      <c r="X26" s="431"/>
      <c r="Y26" s="437"/>
      <c r="Z26" s="437"/>
      <c r="AA26" s="455"/>
      <c r="AB26" s="455"/>
      <c r="AC26" s="455"/>
      <c r="AD26" s="455"/>
      <c r="AE26" s="455"/>
    </row>
    <row r="27" ht="17.25" spans="3:31">
      <c r="C27" s="277" t="s">
        <v>32</v>
      </c>
      <c r="D27" s="307">
        <v>1.8502</v>
      </c>
      <c r="E27" s="305"/>
      <c r="F27" s="306"/>
      <c r="G27" s="303"/>
      <c r="H27" s="289">
        <f>'伤害统计(理想)'!N48</f>
        <v>9</v>
      </c>
      <c r="I27" s="289" t="str">
        <f>'伤害统计(理想)'!O48</f>
        <v>白鹤舒翅</v>
      </c>
      <c r="J27" s="420">
        <f>'按提示输入属性 (老版)'!K33</f>
        <v>0</v>
      </c>
      <c r="K27" s="420">
        <f>'按提示输入属性 (老版)'!L33</f>
        <v>0</v>
      </c>
      <c r="L27" s="426">
        <f>'伤害统计(理想)'!P48</f>
        <v>0</v>
      </c>
      <c r="M27" s="422">
        <f>'伤害统计(理想)'!Q48</f>
        <v>0</v>
      </c>
      <c r="N27" s="423">
        <f>'伤害统计(理想)'!R48</f>
        <v>0</v>
      </c>
      <c r="O27" s="424">
        <f>'伤害统计(理想)'!L62</f>
        <v>0</v>
      </c>
      <c r="P27" s="424">
        <v>0</v>
      </c>
      <c r="Q27" s="447" t="str">
        <f>'按提示输入属性 (老版)'!R33</f>
        <v>不可调整</v>
      </c>
      <c r="R27" s="229" t="s">
        <v>57</v>
      </c>
      <c r="S27" s="452"/>
      <c r="W27" s="431"/>
      <c r="X27" s="431"/>
      <c r="Y27" s="437"/>
      <c r="Z27" s="437"/>
      <c r="AA27" s="455"/>
      <c r="AB27" s="455"/>
      <c r="AC27" s="455"/>
      <c r="AD27" s="455"/>
      <c r="AE27" s="455"/>
    </row>
    <row r="28" ht="17.25" spans="3:31">
      <c r="C28" s="277" t="s">
        <v>35</v>
      </c>
      <c r="D28" s="307">
        <v>0.472</v>
      </c>
      <c r="E28" s="305"/>
      <c r="F28" s="306"/>
      <c r="G28" s="303"/>
      <c r="H28" s="289">
        <f>'伤害统计(理想)'!N49</f>
        <v>10</v>
      </c>
      <c r="I28" s="289" t="str">
        <f>'伤害统计(理想)'!O49</f>
        <v>厚亡</v>
      </c>
      <c r="J28" s="420">
        <v>0</v>
      </c>
      <c r="K28" s="420">
        <v>0</v>
      </c>
      <c r="L28" s="426">
        <f>'伤害统计(理想)'!P49</f>
        <v>0</v>
      </c>
      <c r="M28" s="422">
        <f>'伤害统计(理想)'!Q49</f>
        <v>0</v>
      </c>
      <c r="N28" s="423">
        <f>'伤害统计(理想)'!R49</f>
        <v>0</v>
      </c>
      <c r="O28" s="424">
        <f>'伤害统计(理想)'!L59</f>
        <v>0</v>
      </c>
      <c r="P28" s="424">
        <v>0</v>
      </c>
      <c r="Q28" s="447" t="str">
        <f>'按提示输入属性 (老版)'!R34</f>
        <v>不可调整</v>
      </c>
      <c r="R28" s="229" t="s">
        <v>57</v>
      </c>
      <c r="S28" s="452"/>
      <c r="W28" s="431"/>
      <c r="X28" s="431"/>
      <c r="Y28" s="437"/>
      <c r="Z28" s="437"/>
      <c r="AA28" s="455"/>
      <c r="AB28" s="455"/>
      <c r="AC28" s="455"/>
      <c r="AD28" s="455"/>
      <c r="AE28" s="455"/>
    </row>
    <row r="29" ht="17.25" spans="3:31">
      <c r="C29" s="277" t="s">
        <v>38</v>
      </c>
      <c r="D29" s="307">
        <v>0.3473</v>
      </c>
      <c r="E29" s="305"/>
      <c r="F29" s="306"/>
      <c r="G29" s="303"/>
      <c r="H29" s="289">
        <f>'伤害统计(理想)'!N50</f>
        <v>11</v>
      </c>
      <c r="I29" s="289" t="str">
        <f>'伤害统计(理想)'!O50</f>
        <v>昆吾·弦刃</v>
      </c>
      <c r="J29" s="420" t="str">
        <f>'按提示输入属性 (老版)'!K35</f>
        <v>自动生成</v>
      </c>
      <c r="K29" s="420" t="str">
        <f>'按提示输入属性 (老版)'!L35</f>
        <v>自动生成</v>
      </c>
      <c r="L29" s="426">
        <f>'伤害统计(理想)'!P50</f>
        <v>16</v>
      </c>
      <c r="M29" s="422">
        <f>'伤害统计(理想)'!Q50</f>
        <v>810667</v>
      </c>
      <c r="N29" s="423">
        <f>'伤害统计(理想)'!R50</f>
        <v>0.00375348824815646</v>
      </c>
      <c r="O29" s="424">
        <f>'伤害统计(理想)'!L61</f>
        <v>16</v>
      </c>
      <c r="P29" s="424">
        <v>0</v>
      </c>
      <c r="Q29" s="447" t="str">
        <f>'按提示输入属性 (老版)'!R35</f>
        <v>不可调整</v>
      </c>
      <c r="R29" s="450" t="s">
        <v>64</v>
      </c>
      <c r="S29" s="452"/>
      <c r="W29" s="431"/>
      <c r="X29" s="431"/>
      <c r="Y29" s="437"/>
      <c r="Z29" s="437"/>
      <c r="AA29" s="455"/>
      <c r="AB29" s="455"/>
      <c r="AC29" s="455"/>
      <c r="AD29" s="455"/>
      <c r="AE29" s="455"/>
    </row>
    <row r="30" ht="17.25" spans="3:31">
      <c r="C30" s="277" t="s">
        <v>42</v>
      </c>
      <c r="D30" s="304">
        <v>21804</v>
      </c>
      <c r="E30" s="305"/>
      <c r="F30" s="306"/>
      <c r="G30" s="303"/>
      <c r="H30" s="289">
        <f>'伤害统计(理想)'!N51</f>
        <v>12</v>
      </c>
      <c r="I30" s="289" t="str">
        <f>'伤害统计(理想)'!O51</f>
        <v>空啸太玄剑·定</v>
      </c>
      <c r="J30" s="420">
        <f>'按提示输入属性 (老版)'!K36</f>
        <v>0</v>
      </c>
      <c r="K30" s="420">
        <f>'按提示输入属性 (老版)'!L36</f>
        <v>0</v>
      </c>
      <c r="L30" s="426">
        <f>'伤害统计(理想)'!P51</f>
        <v>0</v>
      </c>
      <c r="M30" s="422">
        <f>'伤害统计(理想)'!Q51</f>
        <v>0</v>
      </c>
      <c r="N30" s="423">
        <f>'伤害统计(理想)'!R51</f>
        <v>0</v>
      </c>
      <c r="O30" s="424">
        <f>'伤害统计(理想)'!L64</f>
        <v>0</v>
      </c>
      <c r="P30" s="424">
        <v>0</v>
      </c>
      <c r="Q30" s="447" t="str">
        <f>'按提示输入属性 (老版)'!R36</f>
        <v>不可调整</v>
      </c>
      <c r="R30" s="229" t="s">
        <v>57</v>
      </c>
      <c r="S30" s="429"/>
      <c r="W30" s="431"/>
      <c r="X30" s="431"/>
      <c r="Y30" s="437"/>
      <c r="Z30" s="437"/>
      <c r="AA30" s="455"/>
      <c r="AB30" s="455"/>
      <c r="AC30" s="455"/>
      <c r="AD30" s="455"/>
      <c r="AE30" s="455"/>
    </row>
    <row r="31" ht="17.25" spans="3:31">
      <c r="C31" s="285" t="s">
        <v>66</v>
      </c>
      <c r="D31" s="308">
        <v>300</v>
      </c>
      <c r="E31" s="309"/>
      <c r="F31" s="310"/>
      <c r="G31" s="303"/>
      <c r="H31" s="289">
        <f>'伤害统计(理想)'!N52</f>
        <v>13</v>
      </c>
      <c r="I31" s="289" t="str">
        <f>'伤害统计(理想)'!O52</f>
        <v>刃凌</v>
      </c>
      <c r="J31" s="420" t="str">
        <f>'按提示输入属性 (老版)'!K37</f>
        <v>自动生成</v>
      </c>
      <c r="K31" s="420" t="str">
        <f>'按提示输入属性 (老版)'!L37</f>
        <v>自动生成</v>
      </c>
      <c r="L31" s="426">
        <f>'伤害统计(理想)'!P52</f>
        <v>23</v>
      </c>
      <c r="M31" s="422">
        <f>'伤害统计(理想)'!Q52</f>
        <v>732384</v>
      </c>
      <c r="N31" s="423">
        <f>'伤害统计(理想)'!R52</f>
        <v>0.00339102829785575</v>
      </c>
      <c r="O31" s="424">
        <f>'伤害统计(理想)'!L60</f>
        <v>23</v>
      </c>
      <c r="P31" s="424">
        <v>0</v>
      </c>
      <c r="Q31" s="447" t="str">
        <f>'按提示输入属性 (老版)'!R37</f>
        <v>不可调整</v>
      </c>
      <c r="R31" s="450" t="s">
        <v>64</v>
      </c>
      <c r="S31" s="452"/>
      <c r="W31" s="431"/>
      <c r="X31" s="431"/>
      <c r="Y31" s="437"/>
      <c r="Z31" s="437"/>
      <c r="AA31" s="455"/>
      <c r="AB31" s="455"/>
      <c r="AC31" s="455"/>
      <c r="AD31" s="455"/>
      <c r="AE31" s="455"/>
    </row>
    <row r="32" ht="17" customHeight="1" spans="3:31">
      <c r="C32" s="311" t="s">
        <v>67</v>
      </c>
      <c r="D32" s="312"/>
      <c r="E32" s="312"/>
      <c r="F32" s="313"/>
      <c r="G32" s="303"/>
      <c r="H32" s="289">
        <f>'伤害统计(理想)'!N53</f>
        <v>14</v>
      </c>
      <c r="I32" s="289" t="str">
        <f>'伤害统计(理想)'!O53</f>
        <v>五方行尽</v>
      </c>
      <c r="J32" s="420">
        <f>'按提示输入属性 (老版)'!K38</f>
        <v>7</v>
      </c>
      <c r="K32" s="420">
        <f>'按提示输入属性 (老版)'!L38</f>
        <v>7</v>
      </c>
      <c r="L32" s="426">
        <f>'伤害统计(理想)'!P53</f>
        <v>7</v>
      </c>
      <c r="M32" s="422">
        <f>'伤害统计(理想)'!Q53</f>
        <v>370682</v>
      </c>
      <c r="N32" s="423">
        <f>'伤害统计(理想)'!R53</f>
        <v>0.00171630340300411</v>
      </c>
      <c r="O32" s="424">
        <f>'伤害统计(理想)'!L45</f>
        <v>7</v>
      </c>
      <c r="P32" s="424">
        <v>0</v>
      </c>
      <c r="Q32" s="447" t="str">
        <f>'按提示输入属性 (老版)'!R38</f>
        <v>不可调整</v>
      </c>
      <c r="R32" s="229" t="s">
        <v>57</v>
      </c>
      <c r="S32" s="452"/>
      <c r="W32" s="431"/>
      <c r="X32" s="431"/>
      <c r="Y32" s="437"/>
      <c r="Z32" s="437"/>
      <c r="AA32" s="455"/>
      <c r="AB32" s="455"/>
      <c r="AC32" s="455"/>
      <c r="AD32" s="455"/>
      <c r="AE32" s="455"/>
    </row>
    <row r="33" ht="17" customHeight="1" spans="3:31">
      <c r="C33" s="314" t="s">
        <v>68</v>
      </c>
      <c r="D33" s="314" t="s">
        <v>69</v>
      </c>
      <c r="E33" s="315" t="s">
        <v>15</v>
      </c>
      <c r="F33" s="316"/>
      <c r="G33" s="303"/>
      <c r="H33" s="289">
        <f>'伤害统计(理想)'!N54</f>
        <v>15</v>
      </c>
      <c r="I33" s="289" t="str">
        <f>'伤害统计(理想)'!O54</f>
        <v>三才化生</v>
      </c>
      <c r="J33" s="420">
        <v>14</v>
      </c>
      <c r="K33" s="420">
        <v>14</v>
      </c>
      <c r="L33" s="426">
        <f>'伤害统计(理想)'!P54</f>
        <v>14</v>
      </c>
      <c r="M33" s="422">
        <f>'伤害统计(理想)'!Q54</f>
        <v>110917</v>
      </c>
      <c r="N33" s="423">
        <f>'伤害统计(理想)'!R54</f>
        <v>0.000513559397410738</v>
      </c>
      <c r="O33" s="427">
        <f>'伤害统计(理想)'!L58</f>
        <v>14</v>
      </c>
      <c r="P33" s="427">
        <v>0</v>
      </c>
      <c r="Q33" s="447" t="str">
        <f>'按提示输入属性 (老版)'!R39</f>
        <v>不可调整</v>
      </c>
      <c r="R33" s="229" t="s">
        <v>57</v>
      </c>
      <c r="S33" s="452"/>
      <c r="W33" s="431"/>
      <c r="X33" s="431"/>
      <c r="Y33" s="437"/>
      <c r="Z33" s="437"/>
      <c r="AA33" s="455"/>
      <c r="AB33" s="455"/>
      <c r="AC33" s="455"/>
      <c r="AD33" s="455"/>
      <c r="AE33" s="455"/>
    </row>
    <row r="34" ht="17.25" spans="3:31">
      <c r="C34" s="317" t="s">
        <v>70</v>
      </c>
      <c r="D34" s="304">
        <v>0</v>
      </c>
      <c r="E34" s="318" t="s">
        <v>71</v>
      </c>
      <c r="F34" s="319"/>
      <c r="G34" s="303"/>
      <c r="H34" s="289">
        <f>'伤害统计(理想)'!N55</f>
        <v>16</v>
      </c>
      <c r="I34" s="289" t="str">
        <f>'伤害统计(理想)'!O55</f>
        <v>气竭(DOT)</v>
      </c>
      <c r="J34" s="420">
        <f>'按提示输入属性 (老版)'!K40</f>
        <v>0</v>
      </c>
      <c r="K34" s="420">
        <f>'按提示输入属性 (老版)'!L40</f>
        <v>77</v>
      </c>
      <c r="L34" s="421">
        <f>'伤害统计(理想)'!P55</f>
        <v>0</v>
      </c>
      <c r="M34" s="422">
        <f>'伤害统计(理想)'!Q55</f>
        <v>0</v>
      </c>
      <c r="N34" s="423">
        <f>'伤害统计(理想)'!R55</f>
        <v>0</v>
      </c>
      <c r="O34" s="424">
        <f>'伤害统计(理想)'!L65</f>
        <v>0</v>
      </c>
      <c r="P34" s="424">
        <v>0</v>
      </c>
      <c r="Q34" s="447" t="str">
        <f>'按提示输入属性 (老版)'!R40</f>
        <v>不可调整</v>
      </c>
      <c r="R34" s="229" t="s">
        <v>57</v>
      </c>
      <c r="S34" s="452"/>
      <c r="W34" s="438"/>
      <c r="X34" s="438"/>
      <c r="Y34" s="438"/>
      <c r="Z34" s="438"/>
      <c r="AA34" s="438"/>
      <c r="AB34" s="438"/>
      <c r="AC34" s="438"/>
      <c r="AD34" s="438"/>
      <c r="AE34" s="438"/>
    </row>
    <row r="35" ht="17.25" spans="3:31">
      <c r="C35" s="277" t="s">
        <v>72</v>
      </c>
      <c r="D35" s="304">
        <v>0</v>
      </c>
      <c r="E35" s="320" t="s">
        <v>71</v>
      </c>
      <c r="F35" s="321"/>
      <c r="G35" s="303"/>
      <c r="H35" s="289">
        <f>'伤害统计(理想)'!N56</f>
        <v>17</v>
      </c>
      <c r="I35" s="289" t="str">
        <f>'伤害统计(理想)'!O56</f>
        <v>星辰</v>
      </c>
      <c r="J35" s="420">
        <f>'按提示输入属性 (老版)'!K41</f>
        <v>0</v>
      </c>
      <c r="K35" s="420">
        <f>'按提示输入属性 (老版)'!L41</f>
        <v>0</v>
      </c>
      <c r="L35" s="421">
        <f>'伤害统计(理想)'!P56</f>
        <v>0</v>
      </c>
      <c r="M35" s="422">
        <f>'伤害统计(理想)'!Q56</f>
        <v>0</v>
      </c>
      <c r="N35" s="423">
        <f>'伤害统计(理想)'!R56</f>
        <v>0</v>
      </c>
      <c r="O35" s="424">
        <f>'伤害统计(理想)'!L66</f>
        <v>0</v>
      </c>
      <c r="P35" s="424">
        <v>0</v>
      </c>
      <c r="Q35" s="447" t="s">
        <v>73</v>
      </c>
      <c r="R35" s="450" t="s">
        <v>64</v>
      </c>
      <c r="S35" s="429"/>
      <c r="W35" s="438"/>
      <c r="X35" s="438"/>
      <c r="Y35" s="438"/>
      <c r="Z35" s="438"/>
      <c r="AA35" s="438"/>
      <c r="AB35" s="438"/>
      <c r="AC35" s="438"/>
      <c r="AD35" s="438"/>
      <c r="AE35" s="438"/>
    </row>
    <row r="36" ht="17.25" spans="3:19">
      <c r="C36" s="285" t="s">
        <v>74</v>
      </c>
      <c r="D36" s="322">
        <f>ROUNDUP(D31/45,0)</f>
        <v>7</v>
      </c>
      <c r="E36" s="323" t="s">
        <v>75</v>
      </c>
      <c r="F36" s="324"/>
      <c r="G36" s="303"/>
      <c r="H36" s="289">
        <f>'伤害统计(理想)'!N57</f>
        <v>18</v>
      </c>
      <c r="I36" s="289" t="str">
        <f>'伤害统计(理想)'!O57</f>
        <v>四象轮回·神兵</v>
      </c>
      <c r="J36" s="420" t="s">
        <v>65</v>
      </c>
      <c r="K36" s="420" t="s">
        <v>65</v>
      </c>
      <c r="L36" s="421">
        <f>'伤害统计(理想)'!P57</f>
        <v>0</v>
      </c>
      <c r="M36" s="422">
        <f>'伤害统计(理想)'!Q57</f>
        <v>0</v>
      </c>
      <c r="N36" s="423">
        <f>'伤害统计(理想)'!R57</f>
        <v>0</v>
      </c>
      <c r="O36" s="424">
        <f>'伤害统计(理想)'!L67</f>
        <v>0</v>
      </c>
      <c r="P36" s="424">
        <v>0</v>
      </c>
      <c r="Q36" s="453" t="s">
        <v>73</v>
      </c>
      <c r="R36" s="450" t="s">
        <v>64</v>
      </c>
      <c r="S36" s="452"/>
    </row>
    <row r="37" ht="17.25" spans="2:24">
      <c r="B37" s="325" t="s">
        <v>76</v>
      </c>
      <c r="C37" s="326"/>
      <c r="D37" s="327"/>
      <c r="E37" s="328"/>
      <c r="F37" s="329"/>
      <c r="G37" s="330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454"/>
      <c r="S37" s="429"/>
      <c r="T37" s="451"/>
      <c r="U37" s="451"/>
      <c r="V37" s="451"/>
      <c r="W37" s="451"/>
      <c r="X37" s="451"/>
    </row>
    <row r="38" ht="17.25" spans="2:24">
      <c r="B38" s="332"/>
      <c r="C38" s="326"/>
      <c r="D38" s="327"/>
      <c r="E38" s="328"/>
      <c r="F38" s="329"/>
      <c r="G38" s="333"/>
      <c r="H38" s="303"/>
      <c r="I38" s="428"/>
      <c r="J38" s="428"/>
      <c r="K38" s="429"/>
      <c r="L38" s="429"/>
      <c r="M38" s="428"/>
      <c r="N38" s="253"/>
      <c r="O38" s="430"/>
      <c r="P38" s="428"/>
      <c r="Q38" s="428"/>
      <c r="R38" s="429"/>
      <c r="S38" s="452"/>
      <c r="T38" s="451"/>
      <c r="U38" s="451"/>
      <c r="V38" s="451"/>
      <c r="W38" s="451"/>
      <c r="X38" s="451"/>
    </row>
    <row r="39" ht="17.25" spans="3:24">
      <c r="C39" s="334" t="s">
        <v>77</v>
      </c>
      <c r="D39" s="335">
        <v>0</v>
      </c>
      <c r="E39" s="336" t="s">
        <v>78</v>
      </c>
      <c r="F39" s="337"/>
      <c r="G39" s="303"/>
      <c r="H39" s="303"/>
      <c r="I39" s="428"/>
      <c r="J39" s="428"/>
      <c r="K39" s="429"/>
      <c r="L39" s="429"/>
      <c r="M39" s="428"/>
      <c r="N39" s="253"/>
      <c r="O39" s="430"/>
      <c r="P39" s="428"/>
      <c r="Q39" s="428"/>
      <c r="R39" s="429"/>
      <c r="S39" s="452"/>
      <c r="T39" s="451"/>
      <c r="U39" s="451"/>
      <c r="V39" s="451"/>
      <c r="W39" s="451"/>
      <c r="X39" s="451"/>
    </row>
    <row r="40" ht="16.5" spans="2:24">
      <c r="B40" s="338" t="s">
        <v>79</v>
      </c>
      <c r="C40" s="339"/>
      <c r="D40" s="339"/>
      <c r="E40" s="339"/>
      <c r="F40" s="339"/>
      <c r="G40" s="340"/>
      <c r="H40" s="303"/>
      <c r="I40" s="428"/>
      <c r="J40" s="428"/>
      <c r="K40" s="429"/>
      <c r="L40" s="429"/>
      <c r="M40" s="428"/>
      <c r="N40" s="253"/>
      <c r="O40" s="430"/>
      <c r="P40" s="428"/>
      <c r="Q40" s="428"/>
      <c r="R40" s="429"/>
      <c r="S40" s="452"/>
      <c r="T40" s="451"/>
      <c r="U40" s="451"/>
      <c r="V40" s="451"/>
      <c r="W40" s="451"/>
      <c r="X40" s="451"/>
    </row>
    <row r="41" ht="17.25" spans="2:24">
      <c r="B41" s="341"/>
      <c r="C41" s="342"/>
      <c r="D41" s="342"/>
      <c r="E41" s="342"/>
      <c r="F41" s="342"/>
      <c r="G41" s="343"/>
      <c r="H41" s="303"/>
      <c r="I41" s="431"/>
      <c r="J41" s="431"/>
      <c r="K41" s="431"/>
      <c r="L41" s="432"/>
      <c r="M41" s="431"/>
      <c r="N41" s="431"/>
      <c r="O41" s="431"/>
      <c r="P41" s="431"/>
      <c r="Q41" s="431"/>
      <c r="R41" s="431"/>
      <c r="S41" s="431"/>
      <c r="T41" s="451"/>
      <c r="U41" s="451"/>
      <c r="V41" s="451"/>
      <c r="W41" s="451"/>
      <c r="X41" s="451"/>
    </row>
    <row r="42" ht="17.25" spans="2:24">
      <c r="B42" s="344"/>
      <c r="C42" s="345" t="s">
        <v>80</v>
      </c>
      <c r="D42" s="346">
        <v>0</v>
      </c>
      <c r="E42" s="347" t="s">
        <v>78</v>
      </c>
      <c r="F42" s="347"/>
      <c r="G42" s="344"/>
      <c r="H42" s="303"/>
      <c r="I42" s="431"/>
      <c r="J42" s="431"/>
      <c r="K42" s="431"/>
      <c r="L42" s="431"/>
      <c r="M42" s="431"/>
      <c r="N42" s="431"/>
      <c r="O42" s="431"/>
      <c r="P42" s="431"/>
      <c r="Q42" s="431"/>
      <c r="R42" s="431"/>
      <c r="S42" s="431"/>
      <c r="T42" s="451"/>
      <c r="U42" s="451"/>
      <c r="V42" s="451"/>
      <c r="W42" s="451"/>
      <c r="X42" s="451"/>
    </row>
    <row r="43" ht="17.25" spans="2:24">
      <c r="B43" s="348"/>
      <c r="C43" s="345" t="s">
        <v>81</v>
      </c>
      <c r="D43" s="170" t="s">
        <v>82</v>
      </c>
      <c r="E43" s="347" t="s">
        <v>83</v>
      </c>
      <c r="F43" s="347"/>
      <c r="G43" s="348"/>
      <c r="H43" s="303"/>
      <c r="I43" s="428"/>
      <c r="J43" s="428"/>
      <c r="K43" s="428"/>
      <c r="L43" s="428"/>
      <c r="M43" s="428"/>
      <c r="N43" s="428"/>
      <c r="O43" s="428"/>
      <c r="P43" s="428"/>
      <c r="Q43" s="428"/>
      <c r="R43" s="428"/>
      <c r="S43" s="428"/>
      <c r="T43" s="451"/>
      <c r="U43" s="451"/>
      <c r="V43" s="451"/>
      <c r="W43" s="451"/>
      <c r="X43" s="451"/>
    </row>
    <row r="44" ht="20.25" spans="2:24">
      <c r="B44" s="349"/>
      <c r="C44" s="338" t="s">
        <v>84</v>
      </c>
      <c r="D44" s="350"/>
      <c r="E44" s="350"/>
      <c r="F44" s="351"/>
      <c r="G44" s="352"/>
      <c r="H44" s="303"/>
      <c r="I44" s="433"/>
      <c r="J44" s="433"/>
      <c r="K44" s="433"/>
      <c r="L44" s="433"/>
      <c r="M44" s="433"/>
      <c r="O44" s="434"/>
      <c r="P44" s="435"/>
      <c r="Q44" s="451"/>
      <c r="R44" s="451"/>
      <c r="S44" s="451"/>
      <c r="T44" s="451"/>
      <c r="U44" s="451"/>
      <c r="V44" s="451"/>
      <c r="W44" s="451"/>
      <c r="X44" s="451"/>
    </row>
    <row r="45" ht="21" spans="2:24">
      <c r="B45" s="353"/>
      <c r="C45" s="354"/>
      <c r="D45" s="355"/>
      <c r="E45" s="355"/>
      <c r="F45" s="356"/>
      <c r="G45" s="357"/>
      <c r="H45" s="303"/>
      <c r="I45" s="433"/>
      <c r="J45" s="433"/>
      <c r="K45" s="433"/>
      <c r="L45" s="433"/>
      <c r="M45" s="433"/>
      <c r="O45" s="434"/>
      <c r="P45" s="435"/>
      <c r="Q45" s="451"/>
      <c r="R45" s="451"/>
      <c r="S45" s="451"/>
      <c r="T45" s="451"/>
      <c r="U45" s="451"/>
      <c r="V45" s="451"/>
      <c r="W45" s="451"/>
      <c r="X45" s="451"/>
    </row>
    <row r="46" ht="17.25" spans="2:24">
      <c r="B46" s="358"/>
      <c r="C46" s="359" t="s">
        <v>85</v>
      </c>
      <c r="D46" s="360">
        <v>3</v>
      </c>
      <c r="E46" s="361" t="s">
        <v>86</v>
      </c>
      <c r="F46" s="362"/>
      <c r="G46" s="363"/>
      <c r="H46" s="303"/>
      <c r="I46" s="433"/>
      <c r="J46" s="433"/>
      <c r="K46" s="433"/>
      <c r="L46" s="433"/>
      <c r="M46" s="433"/>
      <c r="O46" s="434"/>
      <c r="P46" s="435"/>
      <c r="Q46" s="451"/>
      <c r="R46" s="451"/>
      <c r="S46" s="451"/>
      <c r="T46" s="451"/>
      <c r="U46" s="451"/>
      <c r="V46" s="451"/>
      <c r="W46" s="451"/>
      <c r="X46" s="451"/>
    </row>
    <row r="47" ht="17.25" spans="2:24">
      <c r="B47" s="358"/>
      <c r="C47" s="359" t="s">
        <v>87</v>
      </c>
      <c r="D47" s="360">
        <v>4</v>
      </c>
      <c r="E47" s="361" t="s">
        <v>86</v>
      </c>
      <c r="F47" s="362"/>
      <c r="G47" s="363"/>
      <c r="H47" s="303"/>
      <c r="I47" s="433"/>
      <c r="J47" s="433"/>
      <c r="K47" s="433"/>
      <c r="L47" s="433"/>
      <c r="M47" s="433"/>
      <c r="O47" s="434"/>
      <c r="P47" s="435"/>
      <c r="Q47" s="451"/>
      <c r="R47" s="451"/>
      <c r="S47" s="451"/>
      <c r="T47" s="451"/>
      <c r="U47" s="451"/>
      <c r="V47" s="451"/>
      <c r="W47" s="451"/>
      <c r="X47" s="451"/>
    </row>
    <row r="48" ht="17.25" spans="2:24">
      <c r="B48" s="358"/>
      <c r="C48" s="359" t="s">
        <v>88</v>
      </c>
      <c r="D48" s="360">
        <v>4</v>
      </c>
      <c r="E48" s="361" t="s">
        <v>89</v>
      </c>
      <c r="F48" s="362"/>
      <c r="G48" s="363"/>
      <c r="H48" s="303"/>
      <c r="I48" s="433"/>
      <c r="J48" s="433"/>
      <c r="K48" s="433"/>
      <c r="L48" s="433"/>
      <c r="M48" s="433"/>
      <c r="O48" s="434"/>
      <c r="P48" s="435"/>
      <c r="R48" s="451"/>
      <c r="S48" s="451"/>
      <c r="T48" s="451"/>
      <c r="U48" s="451"/>
      <c r="V48" s="451"/>
      <c r="W48" s="451"/>
      <c r="X48" s="451"/>
    </row>
    <row r="49" ht="17.25" spans="2:24">
      <c r="B49" s="358"/>
      <c r="C49" s="364" t="s">
        <v>90</v>
      </c>
      <c r="D49" s="360">
        <v>10</v>
      </c>
      <c r="E49" s="365" t="s">
        <v>91</v>
      </c>
      <c r="F49" s="366"/>
      <c r="G49" s="363"/>
      <c r="H49" s="303"/>
      <c r="I49" s="433"/>
      <c r="J49" s="433"/>
      <c r="K49" s="433"/>
      <c r="L49" s="433"/>
      <c r="M49" s="433"/>
      <c r="O49" s="434"/>
      <c r="P49" s="435"/>
      <c r="Q49" s="451"/>
      <c r="R49" s="451"/>
      <c r="S49" s="451"/>
      <c r="T49" s="451"/>
      <c r="U49" s="451"/>
      <c r="V49" s="451"/>
      <c r="W49" s="451"/>
      <c r="X49" s="451"/>
    </row>
    <row r="50" ht="17.25" spans="2:24">
      <c r="B50" s="367"/>
      <c r="C50" s="368"/>
      <c r="D50" s="368"/>
      <c r="E50" s="368"/>
      <c r="F50" s="368"/>
      <c r="G50" s="369"/>
      <c r="H50" s="303"/>
      <c r="I50" s="433"/>
      <c r="J50" s="433"/>
      <c r="K50" s="433"/>
      <c r="L50" s="433"/>
      <c r="M50" s="433"/>
      <c r="O50" s="434"/>
      <c r="P50" s="435"/>
      <c r="Q50" s="451"/>
      <c r="R50" s="451"/>
      <c r="S50" s="451"/>
      <c r="T50" s="451"/>
      <c r="U50" s="451"/>
      <c r="V50" s="451"/>
      <c r="W50" s="451"/>
      <c r="X50" s="451"/>
    </row>
    <row r="51" ht="18" spans="2:24">
      <c r="B51" s="314" t="s">
        <v>92</v>
      </c>
      <c r="C51" s="370"/>
      <c r="D51" s="370"/>
      <c r="E51" s="370"/>
      <c r="F51" s="370"/>
      <c r="G51" s="314"/>
      <c r="H51" s="303"/>
      <c r="I51" s="433"/>
      <c r="J51" s="433"/>
      <c r="K51" s="433"/>
      <c r="L51" s="433"/>
      <c r="M51" s="433"/>
      <c r="O51" s="434"/>
      <c r="P51" s="435"/>
      <c r="Q51" s="451"/>
      <c r="R51" s="451"/>
      <c r="S51" s="451"/>
      <c r="T51" s="451"/>
      <c r="U51" s="451"/>
      <c r="V51" s="451"/>
      <c r="W51" s="451"/>
      <c r="X51" s="451"/>
    </row>
    <row r="52" ht="18" spans="2:24">
      <c r="B52" s="371"/>
      <c r="C52" s="372" t="s">
        <v>68</v>
      </c>
      <c r="D52" s="373" t="s">
        <v>93</v>
      </c>
      <c r="E52" s="374" t="s">
        <v>15</v>
      </c>
      <c r="F52" s="375"/>
      <c r="G52" s="371"/>
      <c r="H52" s="303"/>
      <c r="I52" s="433"/>
      <c r="J52" s="433"/>
      <c r="K52" s="433"/>
      <c r="L52" s="433"/>
      <c r="M52" s="433"/>
      <c r="O52" s="434"/>
      <c r="P52" s="435"/>
      <c r="Q52" s="451"/>
      <c r="R52" s="451"/>
      <c r="S52" s="451"/>
      <c r="T52" s="451"/>
      <c r="U52" s="451"/>
      <c r="V52" s="451"/>
      <c r="W52" s="451"/>
      <c r="X52" s="451"/>
    </row>
    <row r="53" ht="17.25" spans="2:24">
      <c r="B53" s="376"/>
      <c r="C53" s="377" t="s">
        <v>94</v>
      </c>
      <c r="D53" s="378">
        <v>0</v>
      </c>
      <c r="E53" s="379" t="s">
        <v>95</v>
      </c>
      <c r="F53" s="380"/>
      <c r="G53" s="381"/>
      <c r="H53" s="303"/>
      <c r="I53" s="433"/>
      <c r="J53" s="433"/>
      <c r="K53" s="433"/>
      <c r="L53" s="433"/>
      <c r="M53" s="433"/>
      <c r="O53" s="434"/>
      <c r="P53" s="435"/>
      <c r="Q53" s="451"/>
      <c r="R53" s="451"/>
      <c r="S53" s="451"/>
      <c r="T53" s="451"/>
      <c r="U53" s="451"/>
      <c r="V53" s="451"/>
      <c r="W53" s="451"/>
      <c r="X53" s="451"/>
    </row>
    <row r="54" ht="17.25" spans="2:24">
      <c r="B54" s="376"/>
      <c r="C54" s="382" t="s">
        <v>96</v>
      </c>
      <c r="D54" s="304">
        <v>1</v>
      </c>
      <c r="E54" s="383"/>
      <c r="F54" s="384"/>
      <c r="G54" s="381"/>
      <c r="H54" s="385"/>
      <c r="I54" s="436"/>
      <c r="J54" s="436"/>
      <c r="K54" s="436"/>
      <c r="L54" s="436"/>
      <c r="M54" s="435"/>
      <c r="N54" s="435"/>
      <c r="O54" s="435"/>
      <c r="P54" s="435"/>
      <c r="Q54" s="451"/>
      <c r="T54" s="455"/>
      <c r="U54" s="455"/>
      <c r="V54" s="455"/>
      <c r="W54" s="455"/>
      <c r="X54" s="455"/>
    </row>
    <row r="55" ht="17.25" spans="2:24">
      <c r="B55" s="376"/>
      <c r="C55" s="386" t="s">
        <v>97</v>
      </c>
      <c r="D55" s="304">
        <v>1</v>
      </c>
      <c r="E55" s="383"/>
      <c r="F55" s="384"/>
      <c r="G55" s="381"/>
      <c r="H55" s="387" t="s">
        <v>49</v>
      </c>
      <c r="I55" s="431"/>
      <c r="J55" s="431"/>
      <c r="K55" s="431"/>
      <c r="L55" s="431"/>
      <c r="M55" s="437"/>
      <c r="N55" s="437"/>
      <c r="T55" s="455"/>
      <c r="U55" s="455"/>
      <c r="V55" s="455"/>
      <c r="W55" s="455"/>
      <c r="X55" s="455"/>
    </row>
    <row r="56" ht="17.25" spans="2:24">
      <c r="B56" s="388" t="s">
        <v>98</v>
      </c>
      <c r="C56" s="389" t="s">
        <v>99</v>
      </c>
      <c r="D56" s="304" t="s">
        <v>100</v>
      </c>
      <c r="E56" s="383"/>
      <c r="F56" s="384"/>
      <c r="G56" s="381"/>
      <c r="H56" s="390"/>
      <c r="I56" s="431"/>
      <c r="J56" s="431"/>
      <c r="K56" s="431"/>
      <c r="L56" s="431"/>
      <c r="M56" s="437"/>
      <c r="N56" s="437"/>
      <c r="T56" s="455"/>
      <c r="U56" s="455"/>
      <c r="V56" s="455"/>
      <c r="W56" s="455"/>
      <c r="X56" s="455"/>
    </row>
    <row r="57" ht="17.25" spans="2:24">
      <c r="B57" s="391"/>
      <c r="C57" s="392" t="s">
        <v>101</v>
      </c>
      <c r="D57" s="304" t="s">
        <v>102</v>
      </c>
      <c r="E57" s="383"/>
      <c r="F57" s="384"/>
      <c r="G57" s="381"/>
      <c r="H57" s="390"/>
      <c r="I57" s="431"/>
      <c r="J57" s="431"/>
      <c r="K57" s="431"/>
      <c r="L57" s="431"/>
      <c r="M57" s="437"/>
      <c r="N57" s="437"/>
      <c r="T57" s="455"/>
      <c r="U57" s="455"/>
      <c r="V57" s="455"/>
      <c r="W57" s="455"/>
      <c r="X57" s="455"/>
    </row>
    <row r="58" ht="17.25" spans="2:24">
      <c r="B58" s="391"/>
      <c r="C58" s="393" t="s">
        <v>103</v>
      </c>
      <c r="D58" s="304" t="s">
        <v>104</v>
      </c>
      <c r="E58" s="383"/>
      <c r="F58" s="384"/>
      <c r="G58" s="381"/>
      <c r="H58" s="390"/>
      <c r="I58" s="431"/>
      <c r="J58" s="431"/>
      <c r="K58" s="431"/>
      <c r="L58" s="431"/>
      <c r="M58" s="437"/>
      <c r="N58" s="437"/>
      <c r="T58" s="455"/>
      <c r="U58" s="455"/>
      <c r="V58" s="455"/>
      <c r="W58" s="455"/>
      <c r="X58" s="455"/>
    </row>
    <row r="59" ht="17.25" spans="2:24">
      <c r="B59" s="391"/>
      <c r="C59" s="394" t="s">
        <v>105</v>
      </c>
      <c r="D59" s="304" t="s">
        <v>106</v>
      </c>
      <c r="E59" s="383"/>
      <c r="F59" s="384"/>
      <c r="G59" s="381"/>
      <c r="H59" s="390"/>
      <c r="I59" s="431"/>
      <c r="J59" s="431"/>
      <c r="K59" s="431"/>
      <c r="L59" s="431"/>
      <c r="M59" s="437"/>
      <c r="N59" s="437"/>
      <c r="T59" s="455"/>
      <c r="U59" s="455"/>
      <c r="V59" s="455"/>
      <c r="W59" s="455"/>
      <c r="X59" s="455"/>
    </row>
    <row r="60" ht="17.25" spans="2:24">
      <c r="B60" s="391"/>
      <c r="C60" s="395" t="s">
        <v>107</v>
      </c>
      <c r="D60" s="304" t="s">
        <v>108</v>
      </c>
      <c r="E60" s="383"/>
      <c r="F60" s="384"/>
      <c r="G60" s="381"/>
      <c r="H60" s="390"/>
      <c r="I60" s="431"/>
      <c r="J60" s="431"/>
      <c r="K60" s="431"/>
      <c r="L60" s="431"/>
      <c r="M60" s="437"/>
      <c r="N60" s="437"/>
      <c r="T60" s="455"/>
      <c r="U60" s="455"/>
      <c r="V60" s="455"/>
      <c r="W60" s="455"/>
      <c r="X60" s="455"/>
    </row>
    <row r="61" ht="17.25" spans="2:24">
      <c r="B61" s="396"/>
      <c r="C61" s="397" t="s">
        <v>109</v>
      </c>
      <c r="D61" s="304" t="s">
        <v>109</v>
      </c>
      <c r="E61" s="383"/>
      <c r="F61" s="384"/>
      <c r="G61" s="381"/>
      <c r="H61" s="390"/>
      <c r="I61" s="431"/>
      <c r="J61" s="431"/>
      <c r="K61" s="431"/>
      <c r="L61" s="431"/>
      <c r="M61" s="437"/>
      <c r="N61" s="437"/>
      <c r="T61" s="455"/>
      <c r="U61" s="455"/>
      <c r="V61" s="455"/>
      <c r="W61" s="455"/>
      <c r="X61" s="455"/>
    </row>
    <row r="62" ht="17.25" spans="2:24">
      <c r="B62" s="398"/>
      <c r="C62" s="399" t="s">
        <v>110</v>
      </c>
      <c r="D62" s="304" t="s">
        <v>111</v>
      </c>
      <c r="E62" s="383"/>
      <c r="F62" s="384"/>
      <c r="G62" s="381"/>
      <c r="H62" s="390"/>
      <c r="I62" s="431"/>
      <c r="J62" s="431"/>
      <c r="K62" s="431"/>
      <c r="L62" s="431"/>
      <c r="M62" s="437"/>
      <c r="N62" s="437"/>
      <c r="T62" s="455"/>
      <c r="U62" s="455"/>
      <c r="V62" s="455"/>
      <c r="W62" s="455"/>
      <c r="X62" s="455"/>
    </row>
    <row r="63" ht="17.25" spans="2:24">
      <c r="B63" s="376"/>
      <c r="C63" s="400" t="s">
        <v>112</v>
      </c>
      <c r="D63" s="401">
        <v>0</v>
      </c>
      <c r="E63" s="383"/>
      <c r="F63" s="384"/>
      <c r="G63" s="381"/>
      <c r="H63" s="303"/>
      <c r="I63" s="438"/>
      <c r="J63" s="438"/>
      <c r="K63" s="438"/>
      <c r="L63" s="438"/>
      <c r="M63" s="438"/>
      <c r="N63" s="438"/>
      <c r="O63" s="438"/>
      <c r="P63" s="438"/>
      <c r="Q63" s="438"/>
      <c r="T63" s="455"/>
      <c r="U63" s="455"/>
      <c r="V63" s="455"/>
      <c r="W63" s="455"/>
      <c r="X63" s="455"/>
    </row>
    <row r="64" ht="17.25" spans="2:24">
      <c r="B64" s="376"/>
      <c r="C64" s="402" t="s">
        <v>113</v>
      </c>
      <c r="D64" s="401">
        <v>1</v>
      </c>
      <c r="E64" s="383"/>
      <c r="F64" s="384"/>
      <c r="G64" s="381"/>
      <c r="H64" s="303"/>
      <c r="I64" s="438"/>
      <c r="J64" s="438"/>
      <c r="K64" s="438"/>
      <c r="L64" s="438"/>
      <c r="M64" s="438"/>
      <c r="N64" s="438"/>
      <c r="O64" s="438"/>
      <c r="P64" s="438"/>
      <c r="Q64" s="438"/>
      <c r="T64" s="455"/>
      <c r="U64" s="455"/>
      <c r="V64" s="455"/>
      <c r="W64" s="455"/>
      <c r="X64" s="455"/>
    </row>
    <row r="65" ht="17.25" spans="2:24">
      <c r="B65" s="456"/>
      <c r="C65" s="457" t="s">
        <v>114</v>
      </c>
      <c r="D65" s="458">
        <v>1</v>
      </c>
      <c r="E65" s="459"/>
      <c r="F65" s="460"/>
      <c r="G65" s="381"/>
      <c r="H65" s="303"/>
      <c r="I65" s="438"/>
      <c r="J65" s="438"/>
      <c r="K65" s="438"/>
      <c r="L65" s="438"/>
      <c r="M65" s="438"/>
      <c r="N65" s="438"/>
      <c r="O65" s="438"/>
      <c r="P65" s="438"/>
      <c r="Q65" s="438"/>
      <c r="R65" s="438"/>
      <c r="S65" s="438"/>
      <c r="T65" s="438"/>
      <c r="U65" s="438"/>
      <c r="V65" s="438"/>
      <c r="W65" s="438"/>
      <c r="X65" s="438"/>
    </row>
    <row r="66" ht="17.25" spans="2:24">
      <c r="B66" s="456"/>
      <c r="C66" s="461" t="s">
        <v>115</v>
      </c>
      <c r="D66" s="304">
        <v>1</v>
      </c>
      <c r="E66" s="462"/>
      <c r="F66" s="463"/>
      <c r="G66" s="381"/>
      <c r="H66" s="303"/>
      <c r="I66" s="438"/>
      <c r="J66" s="438"/>
      <c r="K66" s="438"/>
      <c r="L66" s="438"/>
      <c r="M66" s="438"/>
      <c r="N66" s="438"/>
      <c r="O66" s="438"/>
      <c r="P66" s="438"/>
      <c r="Q66" s="438"/>
      <c r="R66" s="438"/>
      <c r="S66" s="438"/>
      <c r="T66" s="438"/>
      <c r="U66" s="438"/>
      <c r="V66" s="438"/>
      <c r="W66" s="438"/>
      <c r="X66" s="438"/>
    </row>
    <row r="67" ht="17.25" spans="2:24">
      <c r="B67" s="456"/>
      <c r="C67" s="464" t="s">
        <v>116</v>
      </c>
      <c r="D67" s="304">
        <v>0</v>
      </c>
      <c r="E67" s="465"/>
      <c r="F67" s="466"/>
      <c r="G67" s="381"/>
      <c r="H67" s="303"/>
      <c r="I67" s="438"/>
      <c r="J67" s="438"/>
      <c r="K67" s="438"/>
      <c r="L67" s="438"/>
      <c r="M67" s="438"/>
      <c r="N67" s="438"/>
      <c r="O67" s="438"/>
      <c r="P67" s="438"/>
      <c r="Q67" s="438"/>
      <c r="R67" s="438"/>
      <c r="S67" s="438"/>
      <c r="T67" s="438"/>
      <c r="U67" s="438"/>
      <c r="V67" s="438"/>
      <c r="W67" s="438"/>
      <c r="X67" s="438"/>
    </row>
    <row r="68" ht="17.25" spans="2:24">
      <c r="B68" s="467"/>
      <c r="C68" s="468"/>
      <c r="D68" s="469"/>
      <c r="E68" s="470"/>
      <c r="F68" s="470"/>
      <c r="G68" s="471"/>
      <c r="H68" s="303"/>
      <c r="I68" s="438"/>
      <c r="J68" s="438"/>
      <c r="K68" s="438"/>
      <c r="L68" s="438"/>
      <c r="M68" s="438"/>
      <c r="N68" s="438"/>
      <c r="O68" s="438"/>
      <c r="P68" s="438"/>
      <c r="Q68" s="438"/>
      <c r="R68" s="438"/>
      <c r="S68" s="438"/>
      <c r="T68" s="438"/>
      <c r="U68" s="438"/>
      <c r="V68" s="438"/>
      <c r="W68" s="438"/>
      <c r="X68" s="438"/>
    </row>
    <row r="69" ht="18" spans="3:24">
      <c r="C69" s="373" t="s">
        <v>117</v>
      </c>
      <c r="D69" s="373" t="s">
        <v>118</v>
      </c>
      <c r="E69" s="374" t="s">
        <v>15</v>
      </c>
      <c r="F69" s="472"/>
      <c r="G69" s="303"/>
      <c r="H69" s="303"/>
      <c r="I69" s="438"/>
      <c r="J69" s="438"/>
      <c r="K69" s="438"/>
      <c r="L69" s="438"/>
      <c r="M69" s="438"/>
      <c r="N69" s="438"/>
      <c r="O69" s="438"/>
      <c r="P69" s="438"/>
      <c r="Q69" s="438"/>
      <c r="R69" s="438"/>
      <c r="S69" s="438"/>
      <c r="T69" s="438"/>
      <c r="U69" s="438"/>
      <c r="V69" s="438"/>
      <c r="W69" s="438"/>
      <c r="X69" s="438"/>
    </row>
    <row r="70" ht="17.25" spans="3:24">
      <c r="C70" s="473" t="s">
        <v>119</v>
      </c>
      <c r="D70" s="474"/>
      <c r="E70" s="475" t="s">
        <v>120</v>
      </c>
      <c r="F70" s="476"/>
      <c r="G70" s="303"/>
      <c r="H70" s="303"/>
      <c r="I70" s="438"/>
      <c r="J70" s="438"/>
      <c r="K70" s="438"/>
      <c r="L70" s="438"/>
      <c r="M70" s="438"/>
      <c r="N70" s="438"/>
      <c r="O70" s="438"/>
      <c r="P70" s="438"/>
      <c r="Q70" s="438"/>
      <c r="R70" s="438"/>
      <c r="S70" s="438"/>
      <c r="T70" s="438"/>
      <c r="U70" s="438"/>
      <c r="V70" s="438"/>
      <c r="W70" s="438"/>
      <c r="X70" s="438"/>
    </row>
    <row r="71" ht="17.25" spans="3:24">
      <c r="C71" s="473" t="s">
        <v>121</v>
      </c>
      <c r="D71" s="474"/>
      <c r="E71" s="475"/>
      <c r="F71" s="476"/>
      <c r="G71" s="303"/>
      <c r="H71" s="303"/>
      <c r="I71" s="438"/>
      <c r="J71" s="438"/>
      <c r="K71" s="438"/>
      <c r="L71" s="438"/>
      <c r="M71" s="438"/>
      <c r="N71" s="438"/>
      <c r="O71" s="438"/>
      <c r="P71" s="438"/>
      <c r="Q71" s="438"/>
      <c r="R71" s="438"/>
      <c r="S71" s="438"/>
      <c r="T71" s="438"/>
      <c r="U71" s="438"/>
      <c r="V71" s="438"/>
      <c r="W71" s="438"/>
      <c r="X71" s="438"/>
    </row>
    <row r="72" ht="17.25" spans="3:24">
      <c r="C72" s="473" t="s">
        <v>122</v>
      </c>
      <c r="D72" s="474"/>
      <c r="E72" s="475"/>
      <c r="F72" s="476"/>
      <c r="G72" s="303"/>
      <c r="H72" s="303"/>
      <c r="I72" s="438"/>
      <c r="J72" s="438"/>
      <c r="K72" s="438"/>
      <c r="L72" s="438"/>
      <c r="M72" s="438"/>
      <c r="N72" s="438"/>
      <c r="O72" s="438"/>
      <c r="P72" s="438"/>
      <c r="Q72" s="438"/>
      <c r="R72" s="438"/>
      <c r="S72" s="438"/>
      <c r="T72" s="438"/>
      <c r="U72" s="438"/>
      <c r="V72" s="438"/>
      <c r="W72" s="438"/>
      <c r="X72" s="438"/>
    </row>
    <row r="73" ht="17.25" spans="3:24">
      <c r="C73" s="473" t="s">
        <v>123</v>
      </c>
      <c r="D73" s="474"/>
      <c r="E73" s="475"/>
      <c r="F73" s="476"/>
      <c r="G73" s="303"/>
      <c r="H73" s="303"/>
      <c r="I73" s="436"/>
      <c r="J73" s="436"/>
      <c r="K73" s="436"/>
      <c r="L73" s="436"/>
      <c r="M73" s="436"/>
      <c r="N73" s="436"/>
      <c r="O73" s="436"/>
      <c r="P73" s="436"/>
      <c r="Q73" s="436"/>
      <c r="R73" s="438"/>
      <c r="S73" s="438"/>
      <c r="T73" s="438"/>
      <c r="U73" s="438"/>
      <c r="V73" s="438"/>
      <c r="W73" s="438"/>
      <c r="X73" s="438"/>
    </row>
    <row r="74" ht="17.25" spans="3:24">
      <c r="C74" s="473" t="s">
        <v>124</v>
      </c>
      <c r="D74" s="474"/>
      <c r="E74" s="475"/>
      <c r="F74" s="476"/>
      <c r="G74" s="303"/>
      <c r="H74" s="303"/>
      <c r="I74" s="436"/>
      <c r="J74" s="436"/>
      <c r="K74" s="436"/>
      <c r="L74" s="436"/>
      <c r="M74" s="436"/>
      <c r="N74" s="436"/>
      <c r="O74" s="436"/>
      <c r="P74" s="436"/>
      <c r="Q74" s="436"/>
      <c r="R74" s="438"/>
      <c r="S74" s="438"/>
      <c r="T74" s="438"/>
      <c r="U74" s="438"/>
      <c r="V74" s="438"/>
      <c r="W74" s="438"/>
      <c r="X74" s="438"/>
    </row>
    <row r="75" ht="17.25" spans="3:24">
      <c r="C75" s="473" t="s">
        <v>125</v>
      </c>
      <c r="D75" s="474"/>
      <c r="E75" s="475"/>
      <c r="F75" s="476"/>
      <c r="G75" s="303"/>
      <c r="H75" s="303"/>
      <c r="I75" s="436"/>
      <c r="J75" s="436"/>
      <c r="K75" s="436"/>
      <c r="L75" s="436"/>
      <c r="M75" s="436"/>
      <c r="N75" s="436"/>
      <c r="O75" s="436"/>
      <c r="P75" s="436"/>
      <c r="Q75" s="436"/>
      <c r="R75" s="438"/>
      <c r="S75" s="438"/>
      <c r="T75" s="438"/>
      <c r="U75" s="438"/>
      <c r="V75" s="438"/>
      <c r="W75" s="438"/>
      <c r="X75" s="438"/>
    </row>
    <row r="76" ht="17.25" spans="3:24">
      <c r="C76" s="473" t="s">
        <v>126</v>
      </c>
      <c r="D76" s="474"/>
      <c r="E76" s="475"/>
      <c r="F76" s="476"/>
      <c r="G76" s="303"/>
      <c r="H76" s="303"/>
      <c r="I76" s="436"/>
      <c r="J76" s="436"/>
      <c r="K76" s="436"/>
      <c r="L76" s="436"/>
      <c r="M76" s="436"/>
      <c r="N76" s="436"/>
      <c r="O76" s="436"/>
      <c r="P76" s="436"/>
      <c r="Q76" s="436"/>
      <c r="R76" s="438"/>
      <c r="S76" s="438"/>
      <c r="T76" s="438"/>
      <c r="U76" s="438"/>
      <c r="V76" s="438"/>
      <c r="W76" s="438"/>
      <c r="X76" s="438"/>
    </row>
    <row r="77" ht="17.25" spans="3:24">
      <c r="C77" s="473" t="s">
        <v>127</v>
      </c>
      <c r="D77" s="474"/>
      <c r="E77" s="475"/>
      <c r="F77" s="476"/>
      <c r="G77" s="303"/>
      <c r="H77" s="303"/>
      <c r="I77" s="436"/>
      <c r="J77" s="436"/>
      <c r="K77" s="436"/>
      <c r="L77" s="436"/>
      <c r="M77" s="436"/>
      <c r="N77" s="436"/>
      <c r="O77" s="436"/>
      <c r="P77" s="436"/>
      <c r="Q77" s="436"/>
      <c r="R77" s="438"/>
      <c r="S77" s="438"/>
      <c r="T77" s="438"/>
      <c r="U77" s="438"/>
      <c r="V77" s="438"/>
      <c r="W77" s="438"/>
      <c r="X77" s="438"/>
    </row>
    <row r="78" ht="17.25" spans="3:24">
      <c r="C78" s="473" t="s">
        <v>128</v>
      </c>
      <c r="D78" s="474"/>
      <c r="E78" s="475"/>
      <c r="F78" s="476"/>
      <c r="G78" s="303"/>
      <c r="H78" s="303"/>
      <c r="I78" s="436"/>
      <c r="J78" s="436"/>
      <c r="K78" s="436"/>
      <c r="L78" s="436"/>
      <c r="M78" s="436"/>
      <c r="N78" s="436"/>
      <c r="O78" s="436"/>
      <c r="P78" s="436"/>
      <c r="Q78" s="436"/>
      <c r="R78" s="438"/>
      <c r="S78" s="438"/>
      <c r="T78" s="438"/>
      <c r="U78" s="438"/>
      <c r="V78" s="438"/>
      <c r="W78" s="438"/>
      <c r="X78" s="438"/>
    </row>
    <row r="79" ht="17.25" spans="3:24">
      <c r="C79" s="473" t="s">
        <v>129</v>
      </c>
      <c r="D79" s="474"/>
      <c r="E79" s="475"/>
      <c r="F79" s="476"/>
      <c r="G79" s="303"/>
      <c r="H79" s="303"/>
      <c r="I79" s="436"/>
      <c r="J79" s="436"/>
      <c r="K79" s="436"/>
      <c r="L79" s="436"/>
      <c r="M79" s="436"/>
      <c r="N79" s="436"/>
      <c r="O79" s="436"/>
      <c r="P79" s="436"/>
      <c r="Q79" s="436"/>
      <c r="R79" s="438"/>
      <c r="S79" s="438"/>
      <c r="T79" s="438"/>
      <c r="U79" s="438"/>
      <c r="V79" s="438"/>
      <c r="W79" s="438"/>
      <c r="X79" s="438"/>
    </row>
    <row r="80" ht="17.25" spans="3:24">
      <c r="C80" s="473" t="s">
        <v>130</v>
      </c>
      <c r="D80" s="474"/>
      <c r="E80" s="475"/>
      <c r="F80" s="476"/>
      <c r="G80" s="303"/>
      <c r="H80" s="303"/>
      <c r="I80" s="436"/>
      <c r="J80" s="436"/>
      <c r="K80" s="436"/>
      <c r="L80" s="436"/>
      <c r="M80" s="436"/>
      <c r="N80" s="436"/>
      <c r="O80" s="436"/>
      <c r="P80" s="436"/>
      <c r="Q80" s="436"/>
      <c r="R80" s="438"/>
      <c r="S80" s="438"/>
      <c r="T80" s="438"/>
      <c r="U80" s="438"/>
      <c r="V80" s="438"/>
      <c r="W80" s="438"/>
      <c r="X80" s="438"/>
    </row>
    <row r="81" ht="17.25" spans="3:24">
      <c r="C81" s="473" t="s">
        <v>131</v>
      </c>
      <c r="D81" s="474"/>
      <c r="E81" s="475"/>
      <c r="F81" s="476"/>
      <c r="G81" s="303"/>
      <c r="H81" s="303"/>
      <c r="I81" s="436"/>
      <c r="J81" s="436"/>
      <c r="K81" s="436"/>
      <c r="L81" s="436"/>
      <c r="M81" s="436"/>
      <c r="N81" s="436"/>
      <c r="O81" s="436"/>
      <c r="P81" s="436"/>
      <c r="Q81" s="436"/>
      <c r="R81" s="438"/>
      <c r="S81" s="438"/>
      <c r="T81" s="438"/>
      <c r="U81" s="438"/>
      <c r="V81" s="438"/>
      <c r="W81" s="438"/>
      <c r="X81" s="438"/>
    </row>
    <row r="82" ht="17.25" spans="3:24">
      <c r="C82" s="473" t="s">
        <v>132</v>
      </c>
      <c r="D82" s="474"/>
      <c r="E82" s="475"/>
      <c r="F82" s="476"/>
      <c r="G82" s="303"/>
      <c r="H82" s="303"/>
      <c r="I82" s="436"/>
      <c r="J82" s="436"/>
      <c r="K82" s="436"/>
      <c r="L82" s="436"/>
      <c r="M82" s="436"/>
      <c r="N82" s="436"/>
      <c r="O82" s="436"/>
      <c r="P82" s="436"/>
      <c r="Q82" s="436"/>
      <c r="R82" s="438"/>
      <c r="S82" s="438"/>
      <c r="T82" s="438"/>
      <c r="U82" s="438"/>
      <c r="V82" s="438"/>
      <c r="W82" s="438"/>
      <c r="X82" s="438"/>
    </row>
    <row r="83" ht="17.25" spans="3:24">
      <c r="C83" s="473" t="s">
        <v>133</v>
      </c>
      <c r="D83" s="474"/>
      <c r="E83" s="475"/>
      <c r="F83" s="476"/>
      <c r="G83" s="303"/>
      <c r="H83" s="303"/>
      <c r="I83" s="436"/>
      <c r="J83" s="436"/>
      <c r="K83" s="436"/>
      <c r="L83" s="436"/>
      <c r="M83" s="436"/>
      <c r="N83" s="436"/>
      <c r="O83" s="436"/>
      <c r="P83" s="436"/>
      <c r="Q83" s="436"/>
      <c r="R83" s="438"/>
      <c r="S83" s="438"/>
      <c r="T83" s="438"/>
      <c r="U83" s="438"/>
      <c r="V83" s="438"/>
      <c r="W83" s="438"/>
      <c r="X83" s="438"/>
    </row>
    <row r="84" ht="17.25" spans="3:24">
      <c r="C84" s="473" t="s">
        <v>134</v>
      </c>
      <c r="D84" s="474"/>
      <c r="E84" s="475"/>
      <c r="F84" s="476"/>
      <c r="G84" s="303"/>
      <c r="H84" s="303"/>
      <c r="I84" s="436"/>
      <c r="J84" s="436"/>
      <c r="K84" s="436"/>
      <c r="L84" s="436"/>
      <c r="M84" s="436"/>
      <c r="N84" s="436"/>
      <c r="O84" s="436"/>
      <c r="P84" s="436"/>
      <c r="Q84" s="436"/>
      <c r="R84" s="438"/>
      <c r="S84" s="438"/>
      <c r="T84" s="438"/>
      <c r="U84" s="438"/>
      <c r="V84" s="438"/>
      <c r="W84" s="438"/>
      <c r="X84" s="438"/>
    </row>
    <row r="85" ht="17.25" spans="3:24">
      <c r="C85" s="473" t="s">
        <v>135</v>
      </c>
      <c r="D85" s="474"/>
      <c r="E85" s="475"/>
      <c r="F85" s="476"/>
      <c r="G85" s="303"/>
      <c r="H85" s="303"/>
      <c r="I85" s="436"/>
      <c r="J85" s="436"/>
      <c r="K85" s="436"/>
      <c r="L85" s="436"/>
      <c r="M85" s="436"/>
      <c r="N85" s="436"/>
      <c r="O85" s="436"/>
      <c r="P85" s="436"/>
      <c r="Q85" s="436"/>
      <c r="R85" s="438"/>
      <c r="S85" s="438"/>
      <c r="T85" s="438"/>
      <c r="U85" s="438"/>
      <c r="V85" s="438"/>
      <c r="W85" s="438"/>
      <c r="X85" s="438"/>
    </row>
    <row r="86" ht="17.25" spans="3:24">
      <c r="C86" s="473" t="s">
        <v>136</v>
      </c>
      <c r="D86" s="474"/>
      <c r="E86" s="475"/>
      <c r="F86" s="476"/>
      <c r="G86" s="303"/>
      <c r="H86" s="303"/>
      <c r="I86" s="436"/>
      <c r="J86" s="436"/>
      <c r="K86" s="436"/>
      <c r="L86" s="436"/>
      <c r="M86" s="436"/>
      <c r="N86" s="436"/>
      <c r="O86" s="436"/>
      <c r="P86" s="436"/>
      <c r="Q86" s="436"/>
      <c r="R86" s="438"/>
      <c r="S86" s="438"/>
      <c r="T86" s="438"/>
      <c r="U86" s="438"/>
      <c r="V86" s="438"/>
      <c r="W86" s="438"/>
      <c r="X86" s="438"/>
    </row>
    <row r="87" ht="17.25" spans="3:24">
      <c r="C87" s="473" t="s">
        <v>137</v>
      </c>
      <c r="D87" s="474"/>
      <c r="E87" s="475"/>
      <c r="F87" s="476"/>
      <c r="G87" s="303"/>
      <c r="H87" s="303"/>
      <c r="I87" s="436"/>
      <c r="J87" s="436"/>
      <c r="K87" s="436"/>
      <c r="L87" s="436"/>
      <c r="M87" s="436"/>
      <c r="N87" s="436"/>
      <c r="O87" s="436"/>
      <c r="P87" s="436"/>
      <c r="Q87" s="436"/>
      <c r="R87" s="438"/>
      <c r="S87" s="438"/>
      <c r="T87" s="438"/>
      <c r="U87" s="438"/>
      <c r="V87" s="438"/>
      <c r="W87" s="438"/>
      <c r="X87" s="438"/>
    </row>
    <row r="88" ht="17.25" spans="3:24">
      <c r="C88" s="473" t="s">
        <v>138</v>
      </c>
      <c r="D88" s="474"/>
      <c r="E88" s="475"/>
      <c r="F88" s="476"/>
      <c r="G88" s="303"/>
      <c r="H88" s="303"/>
      <c r="I88" s="436"/>
      <c r="J88" s="436"/>
      <c r="K88" s="436"/>
      <c r="L88" s="436"/>
      <c r="M88" s="436"/>
      <c r="N88" s="436"/>
      <c r="O88" s="436"/>
      <c r="P88" s="436"/>
      <c r="Q88" s="436"/>
      <c r="R88" s="438"/>
      <c r="S88" s="438"/>
      <c r="T88" s="438"/>
      <c r="U88" s="438"/>
      <c r="V88" s="438"/>
      <c r="W88" s="438"/>
      <c r="X88" s="438"/>
    </row>
    <row r="89" ht="17.25" spans="3:24">
      <c r="C89" s="473" t="s">
        <v>139</v>
      </c>
      <c r="D89" s="474"/>
      <c r="E89" s="475"/>
      <c r="F89" s="476"/>
      <c r="G89" s="303"/>
      <c r="H89" s="303"/>
      <c r="I89" s="436"/>
      <c r="J89" s="436"/>
      <c r="K89" s="436"/>
      <c r="L89" s="436"/>
      <c r="M89" s="436"/>
      <c r="N89" s="436"/>
      <c r="O89" s="436"/>
      <c r="P89" s="436"/>
      <c r="Q89" s="436"/>
      <c r="R89" s="438"/>
      <c r="S89" s="438"/>
      <c r="T89" s="438"/>
      <c r="U89" s="438"/>
      <c r="V89" s="438"/>
      <c r="W89" s="438"/>
      <c r="X89" s="438"/>
    </row>
    <row r="90" ht="17.25" spans="3:24">
      <c r="C90" s="473" t="s">
        <v>140</v>
      </c>
      <c r="D90" s="474"/>
      <c r="E90" s="475"/>
      <c r="F90" s="476"/>
      <c r="G90" s="303"/>
      <c r="H90" s="303"/>
      <c r="I90" s="436"/>
      <c r="J90" s="436"/>
      <c r="K90" s="436"/>
      <c r="L90" s="436"/>
      <c r="M90" s="436"/>
      <c r="N90" s="436"/>
      <c r="O90" s="436"/>
      <c r="P90" s="436"/>
      <c r="Q90" s="436"/>
      <c r="R90" s="438"/>
      <c r="S90" s="438"/>
      <c r="T90" s="438"/>
      <c r="U90" s="438"/>
      <c r="V90" s="438"/>
      <c r="W90" s="438"/>
      <c r="X90" s="438"/>
    </row>
    <row r="91" ht="17.25" spans="3:24">
      <c r="C91" s="473"/>
      <c r="D91" s="474"/>
      <c r="E91" s="475"/>
      <c r="F91" s="476"/>
      <c r="G91" s="303"/>
      <c r="H91" s="303"/>
      <c r="I91" s="436"/>
      <c r="J91" s="436"/>
      <c r="K91" s="436"/>
      <c r="L91" s="436"/>
      <c r="M91" s="436"/>
      <c r="N91" s="436"/>
      <c r="O91" s="436"/>
      <c r="P91" s="436"/>
      <c r="Q91" s="436"/>
      <c r="R91" s="438"/>
      <c r="S91" s="438"/>
      <c r="T91" s="438"/>
      <c r="U91" s="438"/>
      <c r="V91" s="438"/>
      <c r="W91" s="438"/>
      <c r="X91" s="438"/>
    </row>
    <row r="92" ht="17.25" spans="3:24">
      <c r="C92" s="473"/>
      <c r="D92" s="474"/>
      <c r="E92" s="475"/>
      <c r="F92" s="476"/>
      <c r="G92" s="303"/>
      <c r="H92" s="303"/>
      <c r="I92" s="436"/>
      <c r="J92" s="436"/>
      <c r="K92" s="436"/>
      <c r="L92" s="436"/>
      <c r="M92" s="436"/>
      <c r="N92" s="436"/>
      <c r="O92" s="436"/>
      <c r="P92" s="436"/>
      <c r="Q92" s="436"/>
      <c r="R92" s="438"/>
      <c r="S92" s="438"/>
      <c r="T92" s="438"/>
      <c r="U92" s="438"/>
      <c r="V92" s="438"/>
      <c r="W92" s="438"/>
      <c r="X92" s="438"/>
    </row>
    <row r="93" ht="17.25" spans="3:24">
      <c r="C93" s="473"/>
      <c r="D93" s="474"/>
      <c r="E93" s="475"/>
      <c r="F93" s="476"/>
      <c r="G93" s="303"/>
      <c r="H93" s="303"/>
      <c r="I93" s="436"/>
      <c r="J93" s="436"/>
      <c r="K93" s="436"/>
      <c r="L93" s="436"/>
      <c r="M93" s="436"/>
      <c r="N93" s="436"/>
      <c r="O93" s="436"/>
      <c r="P93" s="436"/>
      <c r="Q93" s="436"/>
      <c r="R93" s="438"/>
      <c r="S93" s="438"/>
      <c r="T93" s="438"/>
      <c r="U93" s="438"/>
      <c r="V93" s="438"/>
      <c r="W93" s="438"/>
      <c r="X93" s="438"/>
    </row>
    <row r="95" ht="16.5" spans="3:24">
      <c r="C95" s="477" t="s">
        <v>141</v>
      </c>
      <c r="D95" s="477"/>
      <c r="E95" s="477"/>
      <c r="F95" s="477"/>
      <c r="G95" s="477"/>
      <c r="H95" s="477"/>
      <c r="I95" s="477"/>
      <c r="J95" s="477"/>
      <c r="K95" s="483"/>
      <c r="L95" s="483"/>
      <c r="M95" s="483"/>
      <c r="N95" s="483"/>
      <c r="P95" s="431"/>
      <c r="Q95" s="431"/>
      <c r="R95" s="437"/>
      <c r="S95" s="437"/>
      <c r="T95" s="455"/>
      <c r="U95" s="455"/>
      <c r="V95" s="455"/>
      <c r="W95" s="455"/>
      <c r="X95" s="455"/>
    </row>
    <row r="96" ht="16.5" spans="3:24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P96" s="431"/>
      <c r="Q96" s="431"/>
      <c r="R96" s="437"/>
      <c r="S96" s="437"/>
      <c r="T96" s="455"/>
      <c r="U96" s="455"/>
      <c r="V96" s="455"/>
      <c r="W96" s="455"/>
      <c r="X96" s="455"/>
    </row>
    <row r="97" ht="16.5" spans="3:24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P97" s="438"/>
      <c r="Q97" s="438"/>
      <c r="R97" s="438"/>
      <c r="S97" s="438"/>
      <c r="T97" s="438"/>
      <c r="U97" s="438"/>
      <c r="V97" s="438"/>
      <c r="W97" s="438"/>
      <c r="X97" s="438"/>
    </row>
    <row r="98" ht="16.5" spans="3:24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P98" s="438"/>
      <c r="Q98" s="438"/>
      <c r="R98" s="438"/>
      <c r="S98" s="438"/>
      <c r="T98" s="438"/>
      <c r="U98" s="438"/>
      <c r="V98" s="438"/>
      <c r="W98" s="438"/>
      <c r="X98" s="438"/>
    </row>
    <row r="99" ht="16.5" spans="3:24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P99" s="431"/>
      <c r="Q99" s="431"/>
      <c r="R99" s="437"/>
      <c r="S99" s="437"/>
      <c r="T99" s="455"/>
      <c r="U99" s="455"/>
      <c r="V99" s="455"/>
      <c r="W99" s="455"/>
      <c r="X99" s="455"/>
    </row>
    <row r="100" ht="16.5" spans="3:24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P100" s="431"/>
      <c r="Q100" s="431"/>
      <c r="R100" s="437"/>
      <c r="S100" s="437"/>
      <c r="T100" s="455"/>
      <c r="U100" s="455"/>
      <c r="V100" s="455"/>
      <c r="W100" s="455"/>
      <c r="X100" s="455"/>
    </row>
    <row r="101" ht="16.5" spans="3:24">
      <c r="C101" s="477" t="s">
        <v>142</v>
      </c>
      <c r="D101" s="477"/>
      <c r="E101" s="477"/>
      <c r="F101" s="477"/>
      <c r="G101" s="477"/>
      <c r="H101" s="477"/>
      <c r="I101" s="477"/>
      <c r="J101" s="477"/>
      <c r="K101" s="477"/>
      <c r="L101" s="477"/>
      <c r="M101" s="477"/>
      <c r="N101" s="477"/>
      <c r="P101" s="431"/>
      <c r="Q101" s="431"/>
      <c r="R101" s="437"/>
      <c r="S101" s="437"/>
      <c r="T101" s="455"/>
      <c r="U101" s="455"/>
      <c r="V101" s="455"/>
      <c r="W101" s="455"/>
      <c r="X101" s="455"/>
    </row>
    <row r="102" ht="16.5" spans="3:24">
      <c r="C102" s="478" t="s">
        <v>143</v>
      </c>
      <c r="D102" s="478"/>
      <c r="E102" s="478"/>
      <c r="F102" s="478"/>
      <c r="G102" s="478"/>
      <c r="H102" s="478"/>
      <c r="I102" s="478"/>
      <c r="J102" s="478"/>
      <c r="K102" s="478"/>
      <c r="L102" s="478"/>
      <c r="M102" s="478"/>
      <c r="N102" s="478"/>
      <c r="P102" s="431"/>
      <c r="Q102" s="431"/>
      <c r="R102" s="437"/>
      <c r="S102" s="437"/>
      <c r="T102" s="455"/>
      <c r="U102" s="455"/>
      <c r="V102" s="455"/>
      <c r="W102" s="455"/>
      <c r="X102" s="455"/>
    </row>
    <row r="103" ht="16.5" spans="3:24">
      <c r="C103" s="478" t="s">
        <v>144</v>
      </c>
      <c r="D103" s="478"/>
      <c r="E103" s="478"/>
      <c r="F103" s="478"/>
      <c r="G103" s="478"/>
      <c r="H103" s="478"/>
      <c r="I103" s="478"/>
      <c r="J103" s="478"/>
      <c r="K103" s="478"/>
      <c r="L103" s="478"/>
      <c r="M103" s="478"/>
      <c r="N103" s="478"/>
      <c r="P103" s="431"/>
      <c r="Q103" s="431"/>
      <c r="R103" s="437"/>
      <c r="S103" s="437"/>
      <c r="T103" s="455"/>
      <c r="U103" s="455"/>
      <c r="V103" s="455"/>
      <c r="W103" s="455"/>
      <c r="X103" s="455"/>
    </row>
    <row r="104" ht="16.5" spans="3:24">
      <c r="C104" s="478" t="s">
        <v>145</v>
      </c>
      <c r="D104" s="478"/>
      <c r="E104" s="478"/>
      <c r="F104" s="478"/>
      <c r="G104" s="478"/>
      <c r="H104" s="478"/>
      <c r="I104" s="478"/>
      <c r="J104" s="478"/>
      <c r="K104" s="478"/>
      <c r="L104" s="478"/>
      <c r="M104" s="478"/>
      <c r="N104" s="478"/>
      <c r="P104" s="431"/>
      <c r="Q104" s="431"/>
      <c r="R104" s="437"/>
      <c r="S104" s="437"/>
      <c r="T104" s="455"/>
      <c r="U104" s="455"/>
      <c r="V104" s="455"/>
      <c r="W104" s="455"/>
      <c r="X104" s="455"/>
    </row>
    <row r="105" ht="16.5" spans="3:24">
      <c r="C105" s="478" t="s">
        <v>146</v>
      </c>
      <c r="D105" s="478"/>
      <c r="E105" s="478"/>
      <c r="F105" s="478"/>
      <c r="G105" s="478"/>
      <c r="H105" s="478"/>
      <c r="I105" s="478"/>
      <c r="J105" s="478"/>
      <c r="K105" s="478"/>
      <c r="L105" s="478"/>
      <c r="M105" s="478"/>
      <c r="N105" s="478"/>
      <c r="P105" s="431"/>
      <c r="Q105" s="431"/>
      <c r="R105" s="437"/>
      <c r="S105" s="437"/>
      <c r="T105" s="455"/>
      <c r="U105" s="455"/>
      <c r="V105" s="455"/>
      <c r="W105" s="455"/>
      <c r="X105" s="455"/>
    </row>
    <row r="106" ht="16.5" spans="3:24">
      <c r="C106" s="479" t="s">
        <v>147</v>
      </c>
      <c r="D106" s="479"/>
      <c r="E106" s="479"/>
      <c r="F106" s="479"/>
      <c r="G106" s="479"/>
      <c r="H106" s="479"/>
      <c r="I106" s="479"/>
      <c r="J106" s="479"/>
      <c r="K106" s="479"/>
      <c r="L106" s="479"/>
      <c r="M106" s="479"/>
      <c r="N106" s="479"/>
      <c r="P106" s="431"/>
      <c r="Q106" s="431"/>
      <c r="R106" s="437"/>
      <c r="S106" s="437"/>
      <c r="T106" s="455"/>
      <c r="U106" s="455"/>
      <c r="V106" s="455"/>
      <c r="W106" s="455"/>
      <c r="X106" s="455"/>
    </row>
    <row r="107" ht="16.5" spans="3:24">
      <c r="C107" s="479" t="s">
        <v>148</v>
      </c>
      <c r="D107" s="479"/>
      <c r="E107" s="479"/>
      <c r="F107" s="479"/>
      <c r="G107" s="479"/>
      <c r="H107" s="479"/>
      <c r="I107" s="479"/>
      <c r="J107" s="479"/>
      <c r="K107" s="479"/>
      <c r="L107" s="479"/>
      <c r="M107" s="479"/>
      <c r="N107" s="479"/>
      <c r="P107" s="431"/>
      <c r="Q107" s="431"/>
      <c r="R107" s="437"/>
      <c r="S107" s="437"/>
      <c r="T107" s="455"/>
      <c r="U107" s="455"/>
      <c r="V107" s="455"/>
      <c r="W107" s="455"/>
      <c r="X107" s="455"/>
    </row>
    <row r="108" ht="16.5" spans="3:24">
      <c r="C108" s="479"/>
      <c r="D108" s="479"/>
      <c r="E108" s="479"/>
      <c r="F108" s="479"/>
      <c r="G108" s="479"/>
      <c r="H108" s="479"/>
      <c r="I108" s="479"/>
      <c r="J108" s="479"/>
      <c r="K108" s="479"/>
      <c r="L108" s="479"/>
      <c r="M108" s="479"/>
      <c r="N108" s="479"/>
      <c r="P108" s="431"/>
      <c r="Q108" s="431"/>
      <c r="R108" s="437"/>
      <c r="S108" s="437"/>
      <c r="T108" s="455"/>
      <c r="U108" s="455"/>
      <c r="V108" s="455"/>
      <c r="W108" s="455"/>
      <c r="X108" s="455"/>
    </row>
    <row r="109" ht="16.5" spans="3:24">
      <c r="C109" s="479"/>
      <c r="D109" s="479"/>
      <c r="E109" s="479"/>
      <c r="F109" s="479"/>
      <c r="G109" s="479"/>
      <c r="H109" s="479"/>
      <c r="I109" s="479"/>
      <c r="J109" s="479"/>
      <c r="K109" s="479"/>
      <c r="L109" s="479"/>
      <c r="M109" s="479"/>
      <c r="N109" s="479"/>
      <c r="P109" s="431"/>
      <c r="Q109" s="431"/>
      <c r="R109" s="437"/>
      <c r="S109" s="437"/>
      <c r="T109" s="455"/>
      <c r="U109" s="455"/>
      <c r="V109" s="455"/>
      <c r="W109" s="455"/>
      <c r="X109" s="455"/>
    </row>
    <row r="110" ht="16.5" spans="3:24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P110" s="431"/>
      <c r="Q110" s="431"/>
      <c r="R110" s="437"/>
      <c r="S110" s="437"/>
      <c r="T110" s="455"/>
      <c r="U110" s="455"/>
      <c r="V110" s="455"/>
      <c r="W110" s="455"/>
      <c r="X110" s="455"/>
    </row>
    <row r="111" ht="16.5" spans="3:24">
      <c r="C111" s="477" t="s">
        <v>149</v>
      </c>
      <c r="D111" s="477"/>
      <c r="E111" s="477"/>
      <c r="F111" s="477"/>
      <c r="G111" s="477"/>
      <c r="H111" s="477"/>
      <c r="I111" s="477"/>
      <c r="J111" s="477"/>
      <c r="K111" s="477"/>
      <c r="L111" s="477"/>
      <c r="M111" s="477"/>
      <c r="N111" s="477"/>
      <c r="P111" s="431"/>
      <c r="Q111" s="431"/>
      <c r="R111" s="437"/>
      <c r="S111" s="437"/>
      <c r="T111" s="455"/>
      <c r="U111" s="455"/>
      <c r="V111" s="455"/>
      <c r="W111" s="455"/>
      <c r="X111" s="455"/>
    </row>
    <row r="112" ht="16.5" spans="3:24">
      <c r="C112" s="480" t="s">
        <v>150</v>
      </c>
      <c r="D112" s="481" t="s">
        <v>151</v>
      </c>
      <c r="E112" s="481"/>
      <c r="F112" s="481"/>
      <c r="G112" s="481"/>
      <c r="H112" s="481"/>
      <c r="I112" s="481"/>
      <c r="J112" s="481"/>
      <c r="K112" s="481"/>
      <c r="L112" s="481"/>
      <c r="M112" s="481"/>
      <c r="N112" s="481"/>
      <c r="P112" s="431"/>
      <c r="Q112" s="431"/>
      <c r="R112" s="437"/>
      <c r="S112" s="437"/>
      <c r="T112" s="455"/>
      <c r="U112" s="455"/>
      <c r="V112" s="455"/>
      <c r="W112" s="455"/>
      <c r="X112" s="455"/>
    </row>
    <row r="113" ht="16.5" spans="3:24">
      <c r="C113" s="480" t="s">
        <v>152</v>
      </c>
      <c r="D113" s="482" t="s">
        <v>153</v>
      </c>
      <c r="E113" s="482"/>
      <c r="F113" s="482"/>
      <c r="G113" s="482"/>
      <c r="H113" s="482"/>
      <c r="I113" s="482"/>
      <c r="J113" s="482"/>
      <c r="K113" s="482"/>
      <c r="L113" s="482"/>
      <c r="M113" s="482"/>
      <c r="N113" s="482"/>
      <c r="P113" s="431"/>
      <c r="Q113" s="431"/>
      <c r="R113" s="437"/>
      <c r="S113" s="437"/>
      <c r="T113" s="455"/>
      <c r="U113" s="455"/>
      <c r="V113" s="455"/>
      <c r="W113" s="455"/>
      <c r="X113" s="455"/>
    </row>
    <row r="114" ht="16.5" spans="3:24">
      <c r="C114" s="480"/>
      <c r="D114" s="482"/>
      <c r="E114" s="482"/>
      <c r="F114" s="482"/>
      <c r="G114" s="482"/>
      <c r="H114" s="482"/>
      <c r="I114" s="482"/>
      <c r="J114" s="482"/>
      <c r="K114" s="482"/>
      <c r="L114" s="482"/>
      <c r="M114" s="482"/>
      <c r="N114" s="482"/>
      <c r="P114" s="438"/>
      <c r="Q114" s="438"/>
      <c r="R114" s="438"/>
      <c r="S114" s="438"/>
      <c r="T114" s="438"/>
      <c r="U114" s="438"/>
      <c r="V114" s="438"/>
      <c r="W114" s="438"/>
      <c r="X114" s="438"/>
    </row>
    <row r="115" ht="16.5" spans="3:24">
      <c r="C115" s="480"/>
      <c r="D115" s="482"/>
      <c r="E115" s="482"/>
      <c r="F115" s="482"/>
      <c r="G115" s="482"/>
      <c r="H115" s="482"/>
      <c r="I115" s="482"/>
      <c r="J115" s="482"/>
      <c r="K115" s="482"/>
      <c r="L115" s="482"/>
      <c r="M115" s="482"/>
      <c r="N115" s="482"/>
      <c r="P115" s="438"/>
      <c r="Q115" s="438"/>
      <c r="R115" s="438"/>
      <c r="S115" s="438"/>
      <c r="T115" s="438"/>
      <c r="U115" s="438"/>
      <c r="V115" s="438"/>
      <c r="W115" s="438"/>
      <c r="X115" s="438"/>
    </row>
    <row r="116" ht="16.5" spans="3:24">
      <c r="C116" s="480" t="s">
        <v>154</v>
      </c>
      <c r="D116" s="481" t="s">
        <v>155</v>
      </c>
      <c r="E116" s="481"/>
      <c r="F116" s="481"/>
      <c r="G116" s="481"/>
      <c r="H116" s="481"/>
      <c r="I116" s="481"/>
      <c r="J116" s="481"/>
      <c r="K116" s="481"/>
      <c r="L116" s="481"/>
      <c r="M116" s="481"/>
      <c r="N116" s="481"/>
      <c r="P116" s="455"/>
      <c r="Q116" s="455"/>
      <c r="R116" s="455"/>
      <c r="S116" s="455"/>
      <c r="T116" s="455"/>
      <c r="U116" s="455"/>
      <c r="V116" s="455"/>
      <c r="W116" s="455"/>
      <c r="X116" s="455"/>
    </row>
    <row r="117" ht="16.5" spans="3:14">
      <c r="C117" s="480" t="s">
        <v>156</v>
      </c>
      <c r="D117" s="481" t="s">
        <v>157</v>
      </c>
      <c r="E117" s="481"/>
      <c r="F117" s="481"/>
      <c r="G117" s="481"/>
      <c r="H117" s="481"/>
      <c r="I117" s="481"/>
      <c r="J117" s="481"/>
      <c r="K117" s="481"/>
      <c r="L117" s="481"/>
      <c r="M117" s="481"/>
      <c r="N117" s="481"/>
    </row>
    <row r="118" ht="16.5" spans="3:14">
      <c r="C118" s="480" t="s">
        <v>158</v>
      </c>
      <c r="D118" s="481" t="s">
        <v>159</v>
      </c>
      <c r="E118" s="481"/>
      <c r="F118" s="481"/>
      <c r="G118" s="481"/>
      <c r="H118" s="481"/>
      <c r="I118" s="481"/>
      <c r="J118" s="481"/>
      <c r="K118" s="481"/>
      <c r="L118" s="481"/>
      <c r="M118" s="481"/>
      <c r="N118" s="481"/>
    </row>
    <row r="119" ht="16.5" spans="3:14">
      <c r="C119" s="480" t="s">
        <v>160</v>
      </c>
      <c r="D119" s="481" t="s">
        <v>161</v>
      </c>
      <c r="E119" s="481"/>
      <c r="F119" s="481"/>
      <c r="G119" s="481"/>
      <c r="H119" s="481"/>
      <c r="I119" s="481"/>
      <c r="J119" s="481"/>
      <c r="K119" s="481"/>
      <c r="L119" s="481"/>
      <c r="M119" s="481"/>
      <c r="N119" s="481"/>
    </row>
    <row r="120" spans="3:14">
      <c r="C120" s="480" t="s">
        <v>162</v>
      </c>
      <c r="D120" s="482" t="s">
        <v>163</v>
      </c>
      <c r="E120" s="482"/>
      <c r="F120" s="482"/>
      <c r="G120" s="482"/>
      <c r="H120" s="482"/>
      <c r="I120" s="482"/>
      <c r="J120" s="482"/>
      <c r="K120" s="482"/>
      <c r="L120" s="482"/>
      <c r="M120" s="482"/>
      <c r="N120" s="482"/>
    </row>
    <row r="121" spans="3:14">
      <c r="C121" s="480"/>
      <c r="D121" s="482"/>
      <c r="E121" s="482"/>
      <c r="F121" s="482"/>
      <c r="G121" s="482"/>
      <c r="H121" s="482"/>
      <c r="I121" s="482"/>
      <c r="J121" s="482"/>
      <c r="K121" s="482"/>
      <c r="L121" s="482"/>
      <c r="M121" s="482"/>
      <c r="N121" s="482"/>
    </row>
    <row r="122" spans="3:14">
      <c r="C122" s="480"/>
      <c r="D122" s="482"/>
      <c r="E122" s="482"/>
      <c r="F122" s="482"/>
      <c r="G122" s="482"/>
      <c r="H122" s="482"/>
      <c r="I122" s="482"/>
      <c r="J122" s="482"/>
      <c r="K122" s="482"/>
      <c r="L122" s="482"/>
      <c r="M122" s="482"/>
      <c r="N122" s="482"/>
    </row>
    <row r="123" spans="3:14">
      <c r="C123" s="480" t="s">
        <v>164</v>
      </c>
      <c r="D123" s="482" t="s">
        <v>165</v>
      </c>
      <c r="E123" s="482"/>
      <c r="F123" s="482"/>
      <c r="G123" s="482"/>
      <c r="H123" s="482"/>
      <c r="I123" s="482"/>
      <c r="J123" s="482"/>
      <c r="K123" s="482"/>
      <c r="L123" s="482"/>
      <c r="M123" s="482"/>
      <c r="N123" s="482"/>
    </row>
    <row r="124" spans="3:14">
      <c r="C124" s="480"/>
      <c r="D124" s="482"/>
      <c r="E124" s="482"/>
      <c r="F124" s="482"/>
      <c r="G124" s="482"/>
      <c r="H124" s="482"/>
      <c r="I124" s="482"/>
      <c r="J124" s="482"/>
      <c r="K124" s="482"/>
      <c r="L124" s="482"/>
      <c r="M124" s="482"/>
      <c r="N124" s="482"/>
    </row>
    <row r="125" spans="3:14">
      <c r="C125" s="480"/>
      <c r="D125" s="482"/>
      <c r="E125" s="482"/>
      <c r="F125" s="482"/>
      <c r="G125" s="482"/>
      <c r="H125" s="482"/>
      <c r="I125" s="482"/>
      <c r="J125" s="482"/>
      <c r="K125" s="482"/>
      <c r="L125" s="482"/>
      <c r="M125" s="482"/>
      <c r="N125" s="482"/>
    </row>
    <row r="126" ht="16.5" spans="3:14">
      <c r="C126" s="480" t="s">
        <v>166</v>
      </c>
      <c r="D126" s="482" t="s">
        <v>167</v>
      </c>
      <c r="E126" s="482"/>
      <c r="F126" s="482"/>
      <c r="G126" s="482"/>
      <c r="H126" s="482"/>
      <c r="I126" s="482"/>
      <c r="J126" s="482"/>
      <c r="K126" s="482"/>
      <c r="L126" s="482"/>
      <c r="M126" s="482"/>
      <c r="N126" s="482"/>
    </row>
    <row r="127" ht="16.5" spans="3:14">
      <c r="C127" s="480" t="s">
        <v>168</v>
      </c>
      <c r="D127" s="482" t="s">
        <v>169</v>
      </c>
      <c r="E127" s="482"/>
      <c r="F127" s="482"/>
      <c r="G127" s="482"/>
      <c r="H127" s="482"/>
      <c r="I127" s="482"/>
      <c r="J127" s="482"/>
      <c r="K127" s="482"/>
      <c r="L127" s="482"/>
      <c r="M127" s="482"/>
      <c r="N127" s="482"/>
    </row>
    <row r="128" ht="16.5" spans="3:14">
      <c r="C128" s="480" t="s">
        <v>170</v>
      </c>
      <c r="D128" s="482" t="s">
        <v>171</v>
      </c>
      <c r="E128" s="482"/>
      <c r="F128" s="482"/>
      <c r="G128" s="482"/>
      <c r="H128" s="482"/>
      <c r="I128" s="482"/>
      <c r="J128" s="482"/>
      <c r="K128" s="482"/>
      <c r="L128" s="482"/>
      <c r="M128" s="482"/>
      <c r="N128" s="482"/>
    </row>
    <row r="129" ht="16.5" spans="3:14">
      <c r="C129" s="480" t="s">
        <v>172</v>
      </c>
      <c r="D129" s="482" t="s">
        <v>173</v>
      </c>
      <c r="E129" s="482"/>
      <c r="F129" s="482"/>
      <c r="G129" s="482"/>
      <c r="H129" s="482"/>
      <c r="I129" s="482"/>
      <c r="J129" s="482"/>
      <c r="K129" s="482"/>
      <c r="L129" s="482"/>
      <c r="M129" s="482"/>
      <c r="N129" s="482"/>
    </row>
    <row r="130" ht="16.5" spans="3:14">
      <c r="C130" s="480" t="s">
        <v>174</v>
      </c>
      <c r="D130" s="482" t="s">
        <v>175</v>
      </c>
      <c r="E130" s="482"/>
      <c r="F130" s="482"/>
      <c r="G130" s="482"/>
      <c r="H130" s="482"/>
      <c r="I130" s="482"/>
      <c r="J130" s="482"/>
      <c r="K130" s="482"/>
      <c r="L130" s="482"/>
      <c r="M130" s="482"/>
      <c r="N130" s="482"/>
    </row>
    <row r="131" ht="40" customHeight="1" spans="3:14">
      <c r="C131" s="480" t="s">
        <v>176</v>
      </c>
      <c r="D131" s="482" t="s">
        <v>177</v>
      </c>
      <c r="E131" s="482"/>
      <c r="F131" s="482"/>
      <c r="G131" s="482"/>
      <c r="H131" s="482"/>
      <c r="I131" s="482"/>
      <c r="J131" s="482"/>
      <c r="K131" s="482"/>
      <c r="L131" s="482"/>
      <c r="M131" s="482"/>
      <c r="N131" s="482"/>
    </row>
    <row r="132" ht="16.5" spans="3:14">
      <c r="C132" s="480" t="s">
        <v>178</v>
      </c>
      <c r="D132" s="482" t="s">
        <v>179</v>
      </c>
      <c r="E132" s="482"/>
      <c r="F132" s="482"/>
      <c r="G132" s="482"/>
      <c r="H132" s="482"/>
      <c r="I132" s="482"/>
      <c r="J132" s="482"/>
      <c r="K132" s="482"/>
      <c r="L132" s="482"/>
      <c r="M132" s="482"/>
      <c r="N132" s="482"/>
    </row>
    <row r="133" ht="16.5" spans="3:14">
      <c r="C133" s="480" t="s">
        <v>180</v>
      </c>
      <c r="D133" s="482" t="s">
        <v>181</v>
      </c>
      <c r="E133" s="482"/>
      <c r="F133" s="482"/>
      <c r="G133" s="482"/>
      <c r="H133" s="482"/>
      <c r="I133" s="482"/>
      <c r="J133" s="482"/>
      <c r="K133" s="482"/>
      <c r="L133" s="482"/>
      <c r="M133" s="482"/>
      <c r="N133" s="482"/>
    </row>
    <row r="134" ht="39" customHeight="1" spans="3:18">
      <c r="C134" s="480" t="s">
        <v>182</v>
      </c>
      <c r="D134" s="482" t="s">
        <v>183</v>
      </c>
      <c r="E134" s="482"/>
      <c r="F134" s="482"/>
      <c r="G134" s="482"/>
      <c r="H134" s="482"/>
      <c r="I134" s="482"/>
      <c r="J134" s="482"/>
      <c r="K134" s="482"/>
      <c r="L134" s="482"/>
      <c r="M134" s="482"/>
      <c r="N134" s="482"/>
      <c r="R134" s="250" t="s">
        <v>184</v>
      </c>
    </row>
    <row r="135" ht="66" customHeight="1" spans="3:14">
      <c r="C135" s="480" t="s">
        <v>185</v>
      </c>
      <c r="D135" s="482" t="s">
        <v>186</v>
      </c>
      <c r="E135" s="482"/>
      <c r="F135" s="482"/>
      <c r="G135" s="482"/>
      <c r="H135" s="482"/>
      <c r="I135" s="482"/>
      <c r="J135" s="482"/>
      <c r="K135" s="482"/>
      <c r="L135" s="482"/>
      <c r="M135" s="482"/>
      <c r="N135" s="482"/>
    </row>
    <row r="136" ht="16.5" spans="3:14">
      <c r="C136" s="480" t="s">
        <v>187</v>
      </c>
      <c r="D136" s="482" t="s">
        <v>188</v>
      </c>
      <c r="E136" s="482"/>
      <c r="F136" s="482"/>
      <c r="G136" s="482"/>
      <c r="H136" s="482"/>
      <c r="I136" s="482"/>
      <c r="J136" s="482"/>
      <c r="K136" s="482"/>
      <c r="L136" s="482"/>
      <c r="M136" s="482"/>
      <c r="N136" s="482"/>
    </row>
    <row r="137" ht="16.5" spans="3:14">
      <c r="C137" s="480" t="s">
        <v>189</v>
      </c>
      <c r="D137" s="482" t="s">
        <v>190</v>
      </c>
      <c r="E137" s="482"/>
      <c r="F137" s="482"/>
      <c r="G137" s="482"/>
      <c r="H137" s="482"/>
      <c r="I137" s="482"/>
      <c r="J137" s="482"/>
      <c r="K137" s="482"/>
      <c r="L137" s="482"/>
      <c r="M137" s="482"/>
      <c r="N137" s="482"/>
    </row>
    <row r="138" ht="49" customHeight="1" spans="3:14">
      <c r="C138" s="480" t="s">
        <v>191</v>
      </c>
      <c r="D138" s="482" t="s">
        <v>192</v>
      </c>
      <c r="E138" s="482"/>
      <c r="F138" s="482"/>
      <c r="G138" s="482"/>
      <c r="H138" s="482"/>
      <c r="I138" s="482"/>
      <c r="J138" s="482"/>
      <c r="K138" s="482"/>
      <c r="L138" s="482"/>
      <c r="M138" s="482"/>
      <c r="N138" s="482"/>
    </row>
    <row r="139" ht="84" customHeight="1" spans="3:14">
      <c r="C139" s="480" t="s">
        <v>193</v>
      </c>
      <c r="D139" s="482" t="s">
        <v>194</v>
      </c>
      <c r="E139" s="482"/>
      <c r="F139" s="482"/>
      <c r="G139" s="482"/>
      <c r="H139" s="482"/>
      <c r="I139" s="482"/>
      <c r="J139" s="482"/>
      <c r="K139" s="482"/>
      <c r="L139" s="482"/>
      <c r="M139" s="482"/>
      <c r="N139" s="482"/>
    </row>
    <row r="140" ht="16.5" spans="3:14">
      <c r="C140" s="480" t="s">
        <v>195</v>
      </c>
      <c r="D140" s="482" t="s">
        <v>196</v>
      </c>
      <c r="E140" s="482"/>
      <c r="F140" s="482"/>
      <c r="G140" s="482"/>
      <c r="H140" s="482"/>
      <c r="I140" s="482"/>
      <c r="J140" s="482"/>
      <c r="K140" s="482"/>
      <c r="L140" s="482"/>
      <c r="M140" s="482"/>
      <c r="N140" s="482"/>
    </row>
    <row r="141" ht="16.5" spans="3:14">
      <c r="C141" s="480" t="s">
        <v>197</v>
      </c>
      <c r="D141" s="482" t="s">
        <v>198</v>
      </c>
      <c r="E141" s="482"/>
      <c r="F141" s="482"/>
      <c r="G141" s="482"/>
      <c r="H141" s="482"/>
      <c r="I141" s="482"/>
      <c r="J141" s="482"/>
      <c r="K141" s="482"/>
      <c r="L141" s="482"/>
      <c r="M141" s="482"/>
      <c r="N141" s="482"/>
    </row>
    <row r="142" ht="39" customHeight="1" spans="3:14">
      <c r="C142" s="480" t="s">
        <v>199</v>
      </c>
      <c r="D142" s="482" t="s">
        <v>200</v>
      </c>
      <c r="E142" s="482"/>
      <c r="F142" s="482"/>
      <c r="G142" s="482"/>
      <c r="H142" s="482"/>
      <c r="I142" s="482"/>
      <c r="J142" s="482"/>
      <c r="K142" s="482"/>
      <c r="L142" s="482"/>
      <c r="M142" s="482"/>
      <c r="N142" s="482"/>
    </row>
    <row r="143" ht="39" customHeight="1" spans="3:14">
      <c r="C143" s="480" t="s">
        <v>201</v>
      </c>
      <c r="D143" s="482" t="s">
        <v>202</v>
      </c>
      <c r="E143" s="482"/>
      <c r="F143" s="482"/>
      <c r="G143" s="482"/>
      <c r="H143" s="482"/>
      <c r="I143" s="482"/>
      <c r="J143" s="482"/>
      <c r="K143" s="482"/>
      <c r="L143" s="482"/>
      <c r="M143" s="482"/>
      <c r="N143" s="482"/>
    </row>
    <row r="144" ht="48" customHeight="1" spans="3:14">
      <c r="C144" s="480" t="s">
        <v>203</v>
      </c>
      <c r="D144" s="482" t="s">
        <v>204</v>
      </c>
      <c r="E144" s="482"/>
      <c r="F144" s="482"/>
      <c r="G144" s="482"/>
      <c r="H144" s="482"/>
      <c r="I144" s="482"/>
      <c r="J144" s="482"/>
      <c r="K144" s="482"/>
      <c r="L144" s="482"/>
      <c r="M144" s="482"/>
      <c r="N144" s="482"/>
    </row>
    <row r="145" ht="16.5" spans="3:14">
      <c r="C145" s="480" t="s">
        <v>205</v>
      </c>
      <c r="D145" s="482" t="s">
        <v>206</v>
      </c>
      <c r="E145" s="482"/>
      <c r="F145" s="482"/>
      <c r="G145" s="482"/>
      <c r="H145" s="482"/>
      <c r="I145" s="482"/>
      <c r="J145" s="482"/>
      <c r="K145" s="482"/>
      <c r="L145" s="482"/>
      <c r="M145" s="482"/>
      <c r="N145" s="482"/>
    </row>
    <row r="146" ht="39" customHeight="1" spans="3:14">
      <c r="C146" s="480" t="s">
        <v>207</v>
      </c>
      <c r="D146" s="482" t="s">
        <v>208</v>
      </c>
      <c r="E146" s="482"/>
      <c r="F146" s="482"/>
      <c r="G146" s="482"/>
      <c r="H146" s="482"/>
      <c r="I146" s="482"/>
      <c r="J146" s="482"/>
      <c r="K146" s="482"/>
      <c r="L146" s="482"/>
      <c r="M146" s="482"/>
      <c r="N146" s="482"/>
    </row>
    <row r="147" ht="48" customHeight="1" spans="3:14">
      <c r="C147" s="480" t="s">
        <v>209</v>
      </c>
      <c r="D147" s="482" t="s">
        <v>210</v>
      </c>
      <c r="E147" s="482"/>
      <c r="F147" s="482"/>
      <c r="G147" s="482"/>
      <c r="H147" s="482"/>
      <c r="I147" s="482"/>
      <c r="J147" s="482"/>
      <c r="K147" s="482"/>
      <c r="L147" s="482"/>
      <c r="M147" s="482"/>
      <c r="N147" s="482"/>
    </row>
    <row r="148" ht="16.5" spans="3:14">
      <c r="C148" s="480" t="s">
        <v>211</v>
      </c>
      <c r="D148" s="482" t="s">
        <v>212</v>
      </c>
      <c r="E148" s="482"/>
      <c r="F148" s="482"/>
      <c r="G148" s="482"/>
      <c r="H148" s="482"/>
      <c r="I148" s="482"/>
      <c r="J148" s="482"/>
      <c r="K148" s="482"/>
      <c r="L148" s="482"/>
      <c r="M148" s="482"/>
      <c r="N148" s="482"/>
    </row>
    <row r="149" ht="81" customHeight="1" spans="3:14">
      <c r="C149" s="480" t="s">
        <v>213</v>
      </c>
      <c r="D149" s="482" t="s">
        <v>214</v>
      </c>
      <c r="E149" s="482"/>
      <c r="F149" s="482"/>
      <c r="G149" s="482"/>
      <c r="H149" s="482"/>
      <c r="I149" s="482"/>
      <c r="J149" s="482"/>
      <c r="K149" s="482"/>
      <c r="L149" s="482"/>
      <c r="M149" s="482"/>
      <c r="N149" s="482"/>
    </row>
    <row r="150" ht="75" customHeight="1" spans="3:14">
      <c r="C150" s="480" t="s">
        <v>215</v>
      </c>
      <c r="D150" s="482" t="s">
        <v>216</v>
      </c>
      <c r="E150" s="482"/>
      <c r="F150" s="482"/>
      <c r="G150" s="482"/>
      <c r="H150" s="482"/>
      <c r="I150" s="482"/>
      <c r="J150" s="482"/>
      <c r="K150" s="482"/>
      <c r="L150" s="482"/>
      <c r="M150" s="482"/>
      <c r="N150" s="482"/>
    </row>
    <row r="151" ht="92" customHeight="1" spans="3:14">
      <c r="C151" s="480" t="s">
        <v>217</v>
      </c>
      <c r="D151" s="482" t="s">
        <v>218</v>
      </c>
      <c r="E151" s="484"/>
      <c r="F151" s="484"/>
      <c r="G151" s="484"/>
      <c r="H151" s="484"/>
      <c r="I151" s="484"/>
      <c r="J151" s="484"/>
      <c r="K151" s="484"/>
      <c r="L151" s="484"/>
      <c r="M151" s="484"/>
      <c r="N151" s="484"/>
    </row>
    <row r="152" ht="141" customHeight="1" spans="3:14">
      <c r="C152" s="480" t="s">
        <v>219</v>
      </c>
      <c r="D152" s="482" t="s">
        <v>220</v>
      </c>
      <c r="E152" s="482"/>
      <c r="F152" s="482"/>
      <c r="G152" s="482"/>
      <c r="H152" s="482"/>
      <c r="I152" s="482"/>
      <c r="J152" s="482"/>
      <c r="K152" s="482"/>
      <c r="L152" s="482"/>
      <c r="M152" s="482"/>
      <c r="N152" s="482"/>
    </row>
    <row r="153" ht="16.5" spans="3:14">
      <c r="C153" s="480" t="s">
        <v>221</v>
      </c>
      <c r="D153" s="481" t="s">
        <v>222</v>
      </c>
      <c r="E153" s="481"/>
      <c r="F153" s="481"/>
      <c r="G153" s="481"/>
      <c r="H153" s="481"/>
      <c r="I153" s="481"/>
      <c r="J153" s="481"/>
      <c r="K153" s="481"/>
      <c r="L153" s="481"/>
      <c r="M153" s="481"/>
      <c r="N153" s="481"/>
    </row>
    <row r="154" ht="98" customHeight="1" spans="3:14">
      <c r="C154" s="480" t="s">
        <v>223</v>
      </c>
      <c r="D154" s="482" t="s">
        <v>224</v>
      </c>
      <c r="E154" s="485"/>
      <c r="F154" s="485"/>
      <c r="G154" s="485"/>
      <c r="H154" s="485"/>
      <c r="I154" s="485"/>
      <c r="J154" s="485"/>
      <c r="K154" s="485"/>
      <c r="L154" s="485"/>
      <c r="M154" s="485"/>
      <c r="N154" s="485"/>
    </row>
    <row r="155" ht="16.5" spans="3:14">
      <c r="C155" s="480" t="s">
        <v>225</v>
      </c>
      <c r="D155" s="482" t="s">
        <v>226</v>
      </c>
      <c r="E155" s="485"/>
      <c r="F155" s="485"/>
      <c r="G155" s="485"/>
      <c r="H155" s="485"/>
      <c r="I155" s="485"/>
      <c r="J155" s="485"/>
      <c r="K155" s="485"/>
      <c r="L155" s="485"/>
      <c r="M155" s="485"/>
      <c r="N155" s="485"/>
    </row>
    <row r="156" ht="39" customHeight="1" spans="3:14">
      <c r="C156" s="480" t="s">
        <v>227</v>
      </c>
      <c r="D156" s="482" t="s">
        <v>228</v>
      </c>
      <c r="E156" s="485"/>
      <c r="F156" s="485"/>
      <c r="G156" s="485"/>
      <c r="H156" s="485"/>
      <c r="I156" s="485"/>
      <c r="J156" s="485"/>
      <c r="K156" s="485"/>
      <c r="L156" s="485"/>
      <c r="M156" s="485"/>
      <c r="N156" s="485"/>
    </row>
    <row r="157" ht="16.5" spans="3:14">
      <c r="C157" s="480" t="s">
        <v>229</v>
      </c>
      <c r="D157" s="482" t="s">
        <v>230</v>
      </c>
      <c r="E157" s="485"/>
      <c r="F157" s="485"/>
      <c r="G157" s="485"/>
      <c r="H157" s="485"/>
      <c r="I157" s="485"/>
      <c r="J157" s="485"/>
      <c r="K157" s="485"/>
      <c r="L157" s="485"/>
      <c r="M157" s="485"/>
      <c r="N157" s="485"/>
    </row>
    <row r="158" ht="16.5" spans="3:14">
      <c r="C158" s="480" t="s">
        <v>231</v>
      </c>
      <c r="D158" s="482" t="s">
        <v>232</v>
      </c>
      <c r="E158" s="485"/>
      <c r="F158" s="485"/>
      <c r="G158" s="485"/>
      <c r="H158" s="485"/>
      <c r="I158" s="485"/>
      <c r="J158" s="485"/>
      <c r="K158" s="485"/>
      <c r="L158" s="485"/>
      <c r="M158" s="485"/>
      <c r="N158" s="485"/>
    </row>
    <row r="159" ht="87" customHeight="1" spans="3:14">
      <c r="C159" s="480" t="s">
        <v>233</v>
      </c>
      <c r="D159" s="482" t="s">
        <v>234</v>
      </c>
      <c r="E159" s="485"/>
      <c r="F159" s="485"/>
      <c r="G159" s="485"/>
      <c r="H159" s="485"/>
      <c r="I159" s="485"/>
      <c r="J159" s="485"/>
      <c r="K159" s="485"/>
      <c r="L159" s="485"/>
      <c r="M159" s="485"/>
      <c r="N159" s="485"/>
    </row>
    <row r="160" ht="86" customHeight="1" spans="3:14">
      <c r="C160" s="480" t="s">
        <v>235</v>
      </c>
      <c r="D160" s="482" t="s">
        <v>236</v>
      </c>
      <c r="E160" s="485"/>
      <c r="F160" s="485"/>
      <c r="G160" s="485"/>
      <c r="H160" s="485"/>
      <c r="I160" s="485"/>
      <c r="J160" s="485"/>
      <c r="K160" s="485"/>
      <c r="L160" s="485"/>
      <c r="M160" s="485"/>
      <c r="N160" s="485"/>
    </row>
    <row r="161" ht="75" customHeight="1" spans="3:14">
      <c r="C161" s="480" t="s">
        <v>237</v>
      </c>
      <c r="D161" s="482" t="s">
        <v>238</v>
      </c>
      <c r="E161" s="485"/>
      <c r="F161" s="485"/>
      <c r="G161" s="485"/>
      <c r="H161" s="485"/>
      <c r="I161" s="485"/>
      <c r="J161" s="485"/>
      <c r="K161" s="485"/>
      <c r="L161" s="485"/>
      <c r="M161" s="485"/>
      <c r="N161" s="485"/>
    </row>
    <row r="162" ht="16.5" spans="3:14">
      <c r="C162" s="480" t="s">
        <v>239</v>
      </c>
      <c r="D162" s="482" t="s">
        <v>240</v>
      </c>
      <c r="E162" s="485"/>
      <c r="F162" s="485"/>
      <c r="G162" s="485"/>
      <c r="H162" s="485"/>
      <c r="I162" s="485"/>
      <c r="J162" s="485"/>
      <c r="K162" s="485"/>
      <c r="L162" s="485"/>
      <c r="M162" s="485"/>
      <c r="N162" s="485"/>
    </row>
  </sheetData>
  <sheetProtection password="E803" sheet="1" selectLockedCells="1" objects="1"/>
  <protectedRanges>
    <protectedRange sqref="D34:D36" name="腾空紫气次数选择"/>
    <protectedRange sqref="D24:D30" name="手动输入框"/>
    <protectedRange sqref="D8:F21" name="配装器"/>
    <protectedRange sqref="D5" name="配装模式选择"/>
    <protectedRange sqref="D42:D43" name="CW模块开启"/>
    <protectedRange sqref="D46:D49" name="CW模式输入区"/>
    <protectedRange sqref="D54:D70" name="计算器设定开关"/>
    <protectedRange sqref="D75:D98" name="增益选择"/>
    <protectedRange sqref="L7" name="属性收益单位输入"/>
    <protectedRange sqref="P20:P21 P24 Q17 R19:R23 R25:R28 R30 R32:R34" name="技能数调整"/>
    <protectedRange sqref="D39" name="小CW模块"/>
  </protectedRanges>
  <mergeCells count="112">
    <mergeCell ref="C2:R2"/>
    <mergeCell ref="C4:F4"/>
    <mergeCell ref="E5:F5"/>
    <mergeCell ref="C6:F6"/>
    <mergeCell ref="H6:J6"/>
    <mergeCell ref="K6:L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Q16:R16"/>
    <mergeCell ref="D17:E17"/>
    <mergeCell ref="Q17:R17"/>
    <mergeCell ref="D18:E18"/>
    <mergeCell ref="D19:E19"/>
    <mergeCell ref="D20:F20"/>
    <mergeCell ref="D21:F21"/>
    <mergeCell ref="C22:F22"/>
    <mergeCell ref="E23:F23"/>
    <mergeCell ref="C32:F32"/>
    <mergeCell ref="E33:F33"/>
    <mergeCell ref="E34:F34"/>
    <mergeCell ref="E35:F35"/>
    <mergeCell ref="E36:F36"/>
    <mergeCell ref="H37:R37"/>
    <mergeCell ref="E39:F39"/>
    <mergeCell ref="E42:F42"/>
    <mergeCell ref="E43:F43"/>
    <mergeCell ref="E46:F46"/>
    <mergeCell ref="E47:F47"/>
    <mergeCell ref="E48:F48"/>
    <mergeCell ref="E49:F49"/>
    <mergeCell ref="B50:G50"/>
    <mergeCell ref="B51:G51"/>
    <mergeCell ref="E52:F52"/>
    <mergeCell ref="I54:J54"/>
    <mergeCell ref="M54:O54"/>
    <mergeCell ref="P54:Q54"/>
    <mergeCell ref="E69:F69"/>
    <mergeCell ref="C95:J95"/>
    <mergeCell ref="C101:N101"/>
    <mergeCell ref="C102:N102"/>
    <mergeCell ref="C103:N103"/>
    <mergeCell ref="C104:N104"/>
    <mergeCell ref="C105:N105"/>
    <mergeCell ref="C106:N106"/>
    <mergeCell ref="C111:N111"/>
    <mergeCell ref="D112:N112"/>
    <mergeCell ref="D116:N116"/>
    <mergeCell ref="D117:N117"/>
    <mergeCell ref="D118:N118"/>
    <mergeCell ref="D119:N119"/>
    <mergeCell ref="D126:N126"/>
    <mergeCell ref="D127:N127"/>
    <mergeCell ref="D128:N128"/>
    <mergeCell ref="D129:N129"/>
    <mergeCell ref="D130:N130"/>
    <mergeCell ref="D131:N131"/>
    <mergeCell ref="D132:N132"/>
    <mergeCell ref="D133:N133"/>
    <mergeCell ref="D134:N134"/>
    <mergeCell ref="D135:N135"/>
    <mergeCell ref="D136:N136"/>
    <mergeCell ref="D137:N137"/>
    <mergeCell ref="D138:N138"/>
    <mergeCell ref="D139:N139"/>
    <mergeCell ref="D140:N140"/>
    <mergeCell ref="D141:N141"/>
    <mergeCell ref="D142:N142"/>
    <mergeCell ref="D143:N143"/>
    <mergeCell ref="D144:N144"/>
    <mergeCell ref="D145:N145"/>
    <mergeCell ref="D146:N146"/>
    <mergeCell ref="D147:N147"/>
    <mergeCell ref="D148:N148"/>
    <mergeCell ref="D149:N149"/>
    <mergeCell ref="D150:N150"/>
    <mergeCell ref="D151:N151"/>
    <mergeCell ref="D152:N152"/>
    <mergeCell ref="D153:N153"/>
    <mergeCell ref="D154:N154"/>
    <mergeCell ref="D155:N155"/>
    <mergeCell ref="D156:N156"/>
    <mergeCell ref="D157:N157"/>
    <mergeCell ref="D158:N158"/>
    <mergeCell ref="D159:N159"/>
    <mergeCell ref="D160:N160"/>
    <mergeCell ref="D161:N161"/>
    <mergeCell ref="D162:N162"/>
    <mergeCell ref="B56:B62"/>
    <mergeCell ref="C90:C93"/>
    <mergeCell ref="C113:C115"/>
    <mergeCell ref="C120:C122"/>
    <mergeCell ref="C123:C125"/>
    <mergeCell ref="J8:J14"/>
    <mergeCell ref="E24:F31"/>
    <mergeCell ref="B40:G41"/>
    <mergeCell ref="C44:F45"/>
    <mergeCell ref="H16:P17"/>
    <mergeCell ref="B37:G38"/>
    <mergeCell ref="D120:N122"/>
    <mergeCell ref="D123:N125"/>
    <mergeCell ref="E70:F93"/>
    <mergeCell ref="D113:N115"/>
    <mergeCell ref="C107:N109"/>
    <mergeCell ref="E53:F67"/>
  </mergeCells>
  <conditionalFormatting sqref="L8:L14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{b57bd425-c568-4734-a876-07d3156fe89c}</x14:id>
        </ext>
      </extLst>
    </cfRule>
  </conditionalFormatting>
  <conditionalFormatting sqref="N19:N3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{41bd68f3-41ff-4b67-a559-2fb26bebb298}</x14:id>
        </ext>
      </extLst>
    </cfRule>
  </conditionalFormatting>
  <conditionalFormatting sqref="N38:N40 N53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{2c4a4bbf-d868-45e2-aa95-794446c6e07e}</x14:id>
        </ext>
      </extLst>
    </cfRule>
  </conditionalFormatting>
  <dataValidations count="60">
    <dataValidation type="list" allowBlank="1" showInputMessage="1" showErrorMessage="1" sqref="D5">
      <formula1>额外增益统计!$B$120:$B$121</formula1>
    </dataValidation>
    <dataValidation type="list" allowBlank="1" showInputMessage="1" showErrorMessage="1" sqref="D8:E8">
      <formula1>装备源表!$E$113:$E$132</formula1>
    </dataValidation>
    <dataValidation type="list" allowBlank="1" showInputMessage="1" showErrorMessage="1" sqref="F8">
      <formula1>装备源表!$E$272:$E$276</formula1>
    </dataValidation>
    <dataValidation type="list" allowBlank="1" showInputMessage="1" showErrorMessage="1" sqref="D9:E9">
      <formula1>装备源表!$E$133:$E$144</formula1>
    </dataValidation>
    <dataValidation type="list" allowBlank="1" showInputMessage="1" showErrorMessage="1" sqref="F9">
      <formula1>装备源表!$E$277:$E$279</formula1>
    </dataValidation>
    <dataValidation type="list" allowBlank="1" showInputMessage="1" showErrorMessage="1" sqref="D10:E10">
      <formula1>装备源表!$E$179:$E$219</formula1>
    </dataValidation>
    <dataValidation type="list" allowBlank="1" showInputMessage="1" showErrorMessage="1" sqref="F10">
      <formula1>装备源表!$E$280:$E$282</formula1>
    </dataValidation>
    <dataValidation type="list" allowBlank="1" showInputMessage="1" showErrorMessage="1" sqref="D11:E11">
      <formula1>装备源表!$E$19:$E$48</formula1>
    </dataValidation>
    <dataValidation type="list" allowBlank="1" showInputMessage="1" showErrorMessage="1" sqref="F11">
      <formula1>装备源表!$E$283:$E$291</formula1>
    </dataValidation>
    <dataValidation type="list" allowBlank="1" showInputMessage="1" showErrorMessage="1" sqref="D12:E12">
      <formula1>装备源表!$E$85:$E$112</formula1>
    </dataValidation>
    <dataValidation type="list" allowBlank="1" showInputMessage="1" showErrorMessage="1" sqref="F12">
      <formula1>装备源表!$E$292:$E$300</formula1>
    </dataValidation>
    <dataValidation type="list" allowBlank="1" showInputMessage="1" showErrorMessage="1" sqref="D13:E13">
      <formula1>装备源表!$E$161:$E$178</formula1>
    </dataValidation>
    <dataValidation type="list" allowBlank="1" showInputMessage="1" showErrorMessage="1" sqref="F13">
      <formula1>装备源表!$E$301:$E$305</formula1>
    </dataValidation>
    <dataValidation type="list" allowBlank="1" showInputMessage="1" showErrorMessage="1" sqref="D14:E14">
      <formula1>装备源表!$E$145:$E$160</formula1>
    </dataValidation>
    <dataValidation type="list" allowBlank="1" showInputMessage="1" showErrorMessage="1" sqref="F14">
      <formula1>装备源表!$E$306:$E$307</formula1>
    </dataValidation>
    <dataValidation type="list" allowBlank="1" showInputMessage="1" showErrorMessage="1" sqref="D15:E15">
      <formula1>装备源表!$E$202:$E$219</formula1>
    </dataValidation>
    <dataValidation type="list" allowBlank="1" showInputMessage="1" showErrorMessage="1" sqref="F15">
      <formula1>装备源表!$E$308:$E$309</formula1>
    </dataValidation>
    <dataValidation type="list" allowBlank="1" showInputMessage="1" showErrorMessage="1" sqref="D16:E16 D17:E17">
      <formula1>装备源表!$E$49:$E$66</formula1>
    </dataValidation>
    <dataValidation type="list" allowBlank="1" showInputMessage="1" showErrorMessage="1" sqref="F16">
      <formula1>装备源表!$E$310:$E$313</formula1>
    </dataValidation>
    <dataValidation type="list" allowBlank="1" showInputMessage="1" showErrorMessage="1" sqref="F17">
      <formula1>装备源表!$E$314:$E$317</formula1>
    </dataValidation>
    <dataValidation type="list" allowBlank="1" showInputMessage="1" showErrorMessage="1" sqref="Q17:R17">
      <formula1>额外增益统计!$B$124:$B$128</formula1>
    </dataValidation>
    <dataValidation type="list" allowBlank="1" showInputMessage="1" showErrorMessage="1" sqref="D18:E18">
      <formula1>装备源表!$E$2:$E$18</formula1>
    </dataValidation>
    <dataValidation type="list" allowBlank="1" showInputMessage="1" showErrorMessage="1" sqref="F18">
      <formula1>装备源表!$E$318:$E$320</formula1>
    </dataValidation>
    <dataValidation type="list" allowBlank="1" showInputMessage="1" showErrorMessage="1" sqref="D19:E19">
      <formula1>装备源表!$E$220:$E$237</formula1>
    </dataValidation>
    <dataValidation type="list" allowBlank="1" showInputMessage="1" showErrorMessage="1" sqref="F19">
      <formula1>装备源表!$E$321:$E$323</formula1>
    </dataValidation>
    <dataValidation type="list" allowBlank="1" showInputMessage="1" showErrorMessage="1" sqref="D20:E20">
      <formula1>装备源表!$E$239:$E$251</formula1>
    </dataValidation>
    <dataValidation type="list" allowBlank="1" showInputMessage="1" showErrorMessage="1" sqref="D21:E21">
      <formula1>装备源表!$K$336:$K$338</formula1>
    </dataValidation>
    <dataValidation type="list" allowBlank="1" showInputMessage="1" showErrorMessage="1" sqref="D43">
      <formula1>额外增益统计!$B$103:$B$107</formula1>
    </dataValidation>
    <dataValidation type="list" allowBlank="1" showInputMessage="1" showErrorMessage="1" sqref="D44 D45">
      <formula1/>
    </dataValidation>
    <dataValidation type="list" allowBlank="1" showInputMessage="1" showErrorMessage="1" sqref="D56">
      <formula1>额外增益统计!$B$142:$B$144</formula1>
    </dataValidation>
    <dataValidation type="list" allowBlank="1" showInputMessage="1" showErrorMessage="1" sqref="D57">
      <formula1>额外增益统计!$B$146:$B$148</formula1>
    </dataValidation>
    <dataValidation type="list" allowBlank="1" showInputMessage="1" showErrorMessage="1" sqref="D58">
      <formula1>额外增益统计!$B$166:$B$167</formula1>
    </dataValidation>
    <dataValidation type="list" allowBlank="1" showInputMessage="1" showErrorMessage="1" sqref="D59">
      <formula1>额外增益统计!$B$150:$B$152</formula1>
    </dataValidation>
    <dataValidation type="list" allowBlank="1" showInputMessage="1" showErrorMessage="1" sqref="D60">
      <formula1>额外增益统计!$B$154:$B$156</formula1>
    </dataValidation>
    <dataValidation type="list" allowBlank="1" showInputMessage="1" showErrorMessage="1" sqref="D61">
      <formula1>额外增益统计!$B$158:$B$160</formula1>
    </dataValidation>
    <dataValidation type="list" allowBlank="1" showInputMessage="1" showErrorMessage="1" sqref="D62">
      <formula1>额外增益统计!$B$162:$B$164</formula1>
    </dataValidation>
    <dataValidation type="list" allowBlank="1" showInputMessage="1" showErrorMessage="1" sqref="D70">
      <formula1>额外增益统计!$B$2:$B$4</formula1>
    </dataValidation>
    <dataValidation type="list" allowBlank="1" showInputMessage="1" showErrorMessage="1" sqref="D71">
      <formula1>额外增益统计!$B$5:$B$13</formula1>
    </dataValidation>
    <dataValidation type="list" allowBlank="1" showInputMessage="1" showErrorMessage="1" sqref="D72">
      <formula1>额外增益统计!$B$14:$B$16</formula1>
    </dataValidation>
    <dataValidation type="list" allowBlank="1" showInputMessage="1" showErrorMessage="1" sqref="D73">
      <formula1>额外增益统计!$B$17:$B$25</formula1>
    </dataValidation>
    <dataValidation type="list" allowBlank="1" showInputMessage="1" showErrorMessage="1" sqref="D74">
      <formula1>额外增益统计!$B$26:$B$30</formula1>
    </dataValidation>
    <dataValidation type="list" allowBlank="1" showInputMessage="1" showErrorMessage="1" sqref="D75">
      <formula1>额外增益统计!$B$31:$B$41</formula1>
    </dataValidation>
    <dataValidation type="list" allowBlank="1" showInputMessage="1" showErrorMessage="1" sqref="D76">
      <formula1>额外增益统计!$B$42:$B$43</formula1>
    </dataValidation>
    <dataValidation type="list" allowBlank="1" showInputMessage="1" showErrorMessage="1" sqref="D77">
      <formula1>额外增益统计!$B$44:$B$45</formula1>
    </dataValidation>
    <dataValidation type="list" allowBlank="1" showInputMessage="1" showErrorMessage="1" sqref="D78">
      <formula1>额外增益统计!$B$46:$B$48</formula1>
    </dataValidation>
    <dataValidation type="list" allowBlank="1" showInputMessage="1" showErrorMessage="1" sqref="D79">
      <formula1>额外增益统计!$B$49:$B$50</formula1>
    </dataValidation>
    <dataValidation type="list" allowBlank="1" showInputMessage="1" showErrorMessage="1" sqref="D80">
      <formula1>额外增益统计!$B$61:$B$73</formula1>
    </dataValidation>
    <dataValidation type="list" allowBlank="1" showInputMessage="1" showErrorMessage="1" sqref="D81">
      <formula1>额外增益统计!$B$75:$B$77</formula1>
    </dataValidation>
    <dataValidation type="list" allowBlank="1" showInputMessage="1" showErrorMessage="1" sqref="D82">
      <formula1>额外增益统计!$B$78:$B$80</formula1>
    </dataValidation>
    <dataValidation type="list" allowBlank="1" showInputMessage="1" showErrorMessage="1" sqref="D83">
      <formula1>额外增益统计!$B$81:$B$82</formula1>
    </dataValidation>
    <dataValidation type="list" allowBlank="1" showInputMessage="1" showErrorMessage="1" sqref="D84">
      <formula1>额外增益统计!$B$83:$B$86</formula1>
    </dataValidation>
    <dataValidation type="list" allowBlank="1" showInputMessage="1" showErrorMessage="1" sqref="D85">
      <formula1>额外增益统计!$B$87:$B$88</formula1>
    </dataValidation>
    <dataValidation type="list" allowBlank="1" showInputMessage="1" showErrorMessage="1" sqref="D86">
      <formula1>额外增益统计!$B$89:$B$92</formula1>
    </dataValidation>
    <dataValidation type="list" allowBlank="1" showInputMessage="1" showErrorMessage="1" sqref="D87">
      <formula1>额外增益统计!$B$93:$B$94</formula1>
    </dataValidation>
    <dataValidation type="list" allowBlank="1" showInputMessage="1" showErrorMessage="1" sqref="D88">
      <formula1>额外增益统计!$B$95:$B$96</formula1>
    </dataValidation>
    <dataValidation type="list" allowBlank="1" showInputMessage="1" showErrorMessage="1" sqref="D89">
      <formula1>额外增益统计!$B$97:$B$100</formula1>
    </dataValidation>
    <dataValidation type="list" allowBlank="1" showInputMessage="1" showErrorMessage="1" sqref="D90">
      <formula1>额外增益统计!$B$51:$B$52</formula1>
    </dataValidation>
    <dataValidation type="list" allowBlank="1" showInputMessage="1" showErrorMessage="1" sqref="D91">
      <formula1>额外增益统计!$B$53:$B$54</formula1>
    </dataValidation>
    <dataValidation type="list" allowBlank="1" showInputMessage="1" showErrorMessage="1" sqref="D92">
      <formula1>额外增益统计!$B$55:$B$56</formula1>
    </dataValidation>
    <dataValidation type="list" allowBlank="1" showInputMessage="1" showErrorMessage="1" sqref="D93">
      <formula1>额外增益统计!$B$57:$B$58</formula1>
    </dataValidation>
  </dataValidations>
  <hyperlinks>
    <hyperlink ref="R22" r:id="rId4" display="点击跳转攻略"/>
    <hyperlink ref="R33" r:id="rId5" display="点击跳转攻略"/>
    <hyperlink ref="R19" r:id="rId6" display="点击跳转攻略"/>
    <hyperlink ref="R21" r:id="rId6" display="点击跳转攻略"/>
    <hyperlink ref="R30" r:id="rId7" display="点击跳转攻略"/>
    <hyperlink ref="R28" r:id="rId5" display="点击跳转攻略"/>
    <hyperlink ref="R27" r:id="rId8" display="点击跳转攻略"/>
    <hyperlink ref="R26" r:id="rId7" display="点击跳转攻略"/>
    <hyperlink ref="R25" r:id="rId9" display="点击跳转攻略"/>
    <hyperlink ref="R34" r:id="rId9" display="点击跳转攻略"/>
    <hyperlink ref="R23" r:id="rId4" display="点击跳转攻略"/>
    <hyperlink ref="R32" r:id="rId4" display="点击跳转攻略"/>
    <hyperlink ref="R20" r:id="rId10" display="点击跳转攻略"/>
  </hyperlinks>
  <pageMargins left="0.75" right="0.75" top="1" bottom="1" header="0.5" footer="0.5"/>
  <pageSetup paperSize="9" orientation="portrait"/>
  <headerFooter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57bd425-c568-4734-a876-07d3156fe89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L8:L14</xm:sqref>
        </x14:conditionalFormatting>
        <x14:conditionalFormatting xmlns:xm="http://schemas.microsoft.com/office/excel/2006/main">
          <x14:cfRule type="dataBar" id="{41bd68f3-41ff-4b67-a559-2fb26bebb29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N19:N36</xm:sqref>
        </x14:conditionalFormatting>
        <x14:conditionalFormatting xmlns:xm="http://schemas.microsoft.com/office/excel/2006/main">
          <x14:cfRule type="dataBar" id="{2c4a4bbf-d868-45e2-aa95-794446c6e07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N38:N40 N53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E149"/>
  <sheetViews>
    <sheetView workbookViewId="0">
      <selection activeCell="B55" sqref="B55"/>
    </sheetView>
  </sheetViews>
  <sheetFormatPr defaultColWidth="9.64166666666667" defaultRowHeight="13.5"/>
  <cols>
    <col min="1" max="2" width="3.125" customWidth="1"/>
    <col min="3" max="3" width="18.75" customWidth="1"/>
    <col min="4" max="4" width="25.625" customWidth="1"/>
    <col min="7" max="7" width="3.125" customWidth="1"/>
    <col min="8" max="9" width="11.75"/>
    <col min="10" max="12" width="15" customWidth="1"/>
    <col min="13" max="13" width="14" customWidth="1"/>
    <col min="14" max="14" width="10.375" customWidth="1"/>
    <col min="15" max="15" width="7.375" customWidth="1"/>
    <col min="16" max="16" width="16.25" customWidth="1"/>
    <col min="17" max="17" width="14" customWidth="1"/>
    <col min="19" max="19" width="14" customWidth="1"/>
    <col min="20" max="20" width="13.375" customWidth="1"/>
    <col min="23" max="23" width="13.375" customWidth="1"/>
  </cols>
  <sheetData>
    <row r="2" ht="60" customHeight="1" spans="3:19">
      <c r="C2" s="99" t="s">
        <v>241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="20" customFormat="1" ht="12" customHeight="1" spans="3:19">
      <c r="C3" s="101"/>
      <c r="D3" s="101"/>
      <c r="E3" s="101"/>
      <c r="F3" s="101"/>
      <c r="G3" s="102"/>
      <c r="H3" s="102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="20" customFormat="1" ht="23" customHeight="1" spans="3:19">
      <c r="C4" s="103" t="s">
        <v>1</v>
      </c>
      <c r="D4" s="103"/>
      <c r="E4" s="75"/>
      <c r="F4" s="76"/>
      <c r="G4" s="102"/>
      <c r="H4" s="104" t="s">
        <v>2</v>
      </c>
      <c r="I4" s="104" t="s">
        <v>3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</row>
    <row r="5" s="20" customFormat="1" ht="36" customHeight="1" spans="3:19">
      <c r="C5" s="105" t="s">
        <v>4</v>
      </c>
      <c r="D5" s="106" t="s">
        <v>5</v>
      </c>
      <c r="E5" s="107" t="s">
        <v>6</v>
      </c>
      <c r="F5" s="107"/>
      <c r="G5" s="102"/>
      <c r="H5" s="108">
        <f>属性计算面板!B10</f>
        <v>726176</v>
      </c>
      <c r="I5" s="200">
        <f>属性计算面板!B11</f>
        <v>700658</v>
      </c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="20" customFormat="1" ht="23.25" spans="3:19">
      <c r="C6" s="109" t="s">
        <v>7</v>
      </c>
      <c r="D6" s="110"/>
      <c r="E6" s="110"/>
      <c r="F6" s="111"/>
      <c r="G6" s="102"/>
      <c r="H6" s="109" t="s">
        <v>242</v>
      </c>
      <c r="I6" s="110"/>
      <c r="J6" s="111"/>
      <c r="K6" s="101"/>
      <c r="L6" s="101"/>
      <c r="M6" s="101"/>
      <c r="N6" s="101"/>
      <c r="O6" s="101"/>
      <c r="P6" s="101"/>
      <c r="Q6" s="101"/>
      <c r="R6" s="101"/>
      <c r="S6" s="101"/>
    </row>
    <row r="7" s="20" customFormat="1" ht="17.25" customHeight="1" spans="3:19">
      <c r="C7" s="112"/>
      <c r="D7" s="113" t="s">
        <v>11</v>
      </c>
      <c r="E7" s="113"/>
      <c r="F7" s="113" t="s">
        <v>12</v>
      </c>
      <c r="G7" s="102"/>
      <c r="H7" s="114" t="s">
        <v>13</v>
      </c>
      <c r="I7" s="201" t="s">
        <v>14</v>
      </c>
      <c r="J7" s="202" t="s">
        <v>15</v>
      </c>
      <c r="K7" s="101"/>
      <c r="L7" s="101"/>
      <c r="M7" s="101"/>
      <c r="N7" s="101"/>
      <c r="O7" s="101"/>
      <c r="P7" s="101"/>
      <c r="Q7" s="101"/>
      <c r="R7" s="101"/>
      <c r="S7" s="101"/>
    </row>
    <row r="8" s="20" customFormat="1" ht="17.25" customHeight="1" spans="3:19">
      <c r="C8" s="115" t="s">
        <v>17</v>
      </c>
      <c r="D8" s="116" t="s">
        <v>18</v>
      </c>
      <c r="E8" s="117"/>
      <c r="F8" s="118" t="s">
        <v>243</v>
      </c>
      <c r="G8" s="102"/>
      <c r="H8" s="119" t="s">
        <v>20</v>
      </c>
      <c r="I8" s="78">
        <f>装备源表!K333</f>
        <v>33166</v>
      </c>
      <c r="J8" s="203" t="s">
        <v>244</v>
      </c>
      <c r="K8" s="101"/>
      <c r="L8" s="101"/>
      <c r="M8" s="101"/>
      <c r="N8" s="101"/>
      <c r="O8" s="101"/>
      <c r="P8" s="101"/>
      <c r="Q8" s="101"/>
      <c r="R8" s="101"/>
      <c r="S8" s="101"/>
    </row>
    <row r="9" s="20" customFormat="1" ht="17.25" customHeight="1" spans="3:19">
      <c r="C9" s="115" t="s">
        <v>22</v>
      </c>
      <c r="D9" s="120" t="s">
        <v>23</v>
      </c>
      <c r="E9" s="121"/>
      <c r="F9" s="122" t="s">
        <v>245</v>
      </c>
      <c r="G9" s="102"/>
      <c r="H9" s="119" t="s">
        <v>25</v>
      </c>
      <c r="I9" s="78">
        <f>装备源表!M333</f>
        <v>44719</v>
      </c>
      <c r="J9" s="203"/>
      <c r="K9" s="101"/>
      <c r="L9" s="101"/>
      <c r="M9" s="101"/>
      <c r="N9" s="101"/>
      <c r="O9" s="101"/>
      <c r="P9" s="101"/>
      <c r="Q9" s="101"/>
      <c r="R9" s="101"/>
      <c r="S9" s="101"/>
    </row>
    <row r="10" s="20" customFormat="1" ht="17.25" customHeight="1" spans="3:19">
      <c r="C10" s="115" t="s">
        <v>26</v>
      </c>
      <c r="D10" s="120" t="s">
        <v>27</v>
      </c>
      <c r="E10" s="121"/>
      <c r="F10" s="122" t="s">
        <v>245</v>
      </c>
      <c r="G10" s="102"/>
      <c r="H10" s="119" t="s">
        <v>28</v>
      </c>
      <c r="I10" s="204">
        <f>装备源表!O333</f>
        <v>0.357009761836624</v>
      </c>
      <c r="J10" s="203"/>
      <c r="K10" s="101"/>
      <c r="L10" s="101"/>
      <c r="M10" s="101"/>
      <c r="N10" s="101"/>
      <c r="O10" s="101"/>
      <c r="P10" s="101"/>
      <c r="Q10" s="101"/>
      <c r="R10" s="101"/>
      <c r="S10" s="101"/>
    </row>
    <row r="11" s="20" customFormat="1" ht="17.25" customHeight="1" spans="3:19">
      <c r="C11" s="115" t="s">
        <v>29</v>
      </c>
      <c r="D11" s="120" t="s">
        <v>246</v>
      </c>
      <c r="E11" s="121"/>
      <c r="F11" s="122" t="s">
        <v>247</v>
      </c>
      <c r="G11" s="102"/>
      <c r="H11" s="119" t="s">
        <v>32</v>
      </c>
      <c r="I11" s="81">
        <f>装备源表!Q333</f>
        <v>2.02200944982054</v>
      </c>
      <c r="J11" s="203"/>
      <c r="K11" s="101"/>
      <c r="L11" s="101"/>
      <c r="M11" s="101"/>
      <c r="N11" s="101"/>
      <c r="O11" s="101"/>
      <c r="P11" s="101"/>
      <c r="Q11" s="101"/>
      <c r="R11" s="101"/>
      <c r="S11" s="101"/>
    </row>
    <row r="12" s="20" customFormat="1" ht="17.25" customHeight="1" spans="3:19">
      <c r="C12" s="115" t="s">
        <v>33</v>
      </c>
      <c r="D12" s="120" t="s">
        <v>34</v>
      </c>
      <c r="E12" s="121"/>
      <c r="F12" s="122" t="s">
        <v>247</v>
      </c>
      <c r="G12" s="102"/>
      <c r="H12" s="119" t="s">
        <v>35</v>
      </c>
      <c r="I12" s="81">
        <f>装备源表!S333</f>
        <v>0.435371553944482</v>
      </c>
      <c r="J12" s="203"/>
      <c r="K12" s="101"/>
      <c r="L12" s="101"/>
      <c r="M12" s="101"/>
      <c r="N12" s="101"/>
      <c r="O12" s="101"/>
      <c r="P12" s="101"/>
      <c r="Q12" s="101"/>
      <c r="R12" s="101"/>
      <c r="S12" s="101"/>
    </row>
    <row r="13" s="20" customFormat="1" ht="17.25" customHeight="1" spans="3:19">
      <c r="C13" s="115" t="s">
        <v>36</v>
      </c>
      <c r="D13" s="120" t="s">
        <v>37</v>
      </c>
      <c r="E13" s="121"/>
      <c r="F13" s="122" t="s">
        <v>243</v>
      </c>
      <c r="G13" s="102"/>
      <c r="H13" s="119" t="s">
        <v>38</v>
      </c>
      <c r="I13" s="81">
        <f>装备源表!W333</f>
        <v>0.336726718705171</v>
      </c>
      <c r="J13" s="203"/>
      <c r="K13" s="101"/>
      <c r="L13" s="101"/>
      <c r="M13" s="101"/>
      <c r="N13" s="101"/>
      <c r="O13" s="101"/>
      <c r="P13" s="101"/>
      <c r="Q13" s="101"/>
      <c r="R13" s="101"/>
      <c r="S13" s="101"/>
    </row>
    <row r="14" s="20" customFormat="1" ht="17.25" customHeight="1" spans="3:19">
      <c r="C14" s="115" t="s">
        <v>39</v>
      </c>
      <c r="D14" s="120" t="s">
        <v>40</v>
      </c>
      <c r="E14" s="121"/>
      <c r="F14" s="122" t="s">
        <v>41</v>
      </c>
      <c r="G14" s="102"/>
      <c r="H14" s="123" t="s">
        <v>42</v>
      </c>
      <c r="I14" s="78">
        <f>装备源表!U333</f>
        <v>21163</v>
      </c>
      <c r="J14" s="205"/>
      <c r="K14" s="101"/>
      <c r="L14" s="101"/>
      <c r="M14" s="101"/>
      <c r="N14" s="101"/>
      <c r="O14" s="101"/>
      <c r="P14" s="101"/>
      <c r="Q14" s="101"/>
      <c r="R14" s="101"/>
      <c r="S14" s="101"/>
    </row>
    <row r="15" s="20" customFormat="1" ht="17.25" customHeight="1" spans="3:19">
      <c r="C15" s="115" t="s">
        <v>43</v>
      </c>
      <c r="D15" s="120" t="s">
        <v>44</v>
      </c>
      <c r="E15" s="121"/>
      <c r="F15" s="122" t="s">
        <v>41</v>
      </c>
      <c r="G15" s="102"/>
      <c r="H15" s="102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</row>
    <row r="16" s="20" customFormat="1" ht="17.25" customHeight="1" spans="3:19">
      <c r="C16" s="115" t="s">
        <v>45</v>
      </c>
      <c r="D16" s="120" t="s">
        <v>248</v>
      </c>
      <c r="E16" s="121"/>
      <c r="F16" s="122" t="s">
        <v>243</v>
      </c>
      <c r="G16" s="102"/>
      <c r="H16" s="102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</row>
    <row r="17" s="20" customFormat="1" ht="17.25" customHeight="1" spans="3:19">
      <c r="C17" s="115" t="s">
        <v>45</v>
      </c>
      <c r="D17" s="120" t="s">
        <v>249</v>
      </c>
      <c r="E17" s="121"/>
      <c r="F17" s="122" t="s">
        <v>243</v>
      </c>
      <c r="G17" s="102"/>
      <c r="H17" s="102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</row>
    <row r="18" s="20" customFormat="1" ht="17.25" customHeight="1" spans="3:19">
      <c r="C18" s="115" t="s">
        <v>51</v>
      </c>
      <c r="D18" s="120" t="s">
        <v>250</v>
      </c>
      <c r="E18" s="121"/>
      <c r="F18" s="122" t="s">
        <v>251</v>
      </c>
      <c r="G18" s="102"/>
      <c r="H18" s="102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</row>
    <row r="19" s="20" customFormat="1" ht="17.25" customHeight="1" spans="3:19">
      <c r="C19" s="124" t="s">
        <v>54</v>
      </c>
      <c r="D19" s="125" t="s">
        <v>55</v>
      </c>
      <c r="E19" s="126"/>
      <c r="F19" s="127" t="s">
        <v>252</v>
      </c>
      <c r="G19" s="102"/>
      <c r="H19" s="102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</row>
    <row r="20" s="20" customFormat="1" ht="17.25" customHeight="1" spans="3:19">
      <c r="C20" s="124" t="s">
        <v>58</v>
      </c>
      <c r="D20" s="128" t="s">
        <v>59</v>
      </c>
      <c r="E20" s="129"/>
      <c r="F20" s="113"/>
      <c r="G20" s="102"/>
      <c r="H20" s="102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</row>
    <row r="21" s="20" customFormat="1" ht="17.25" customHeight="1" spans="3:19">
      <c r="C21" s="124" t="s">
        <v>60</v>
      </c>
      <c r="D21" s="130" t="s">
        <v>61</v>
      </c>
      <c r="E21" s="131"/>
      <c r="F21" s="113"/>
      <c r="G21" s="102"/>
      <c r="H21" s="102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</row>
    <row r="22" s="20" customFormat="1" ht="23" customHeight="1" spans="3:19">
      <c r="C22" s="109" t="s">
        <v>62</v>
      </c>
      <c r="D22" s="132"/>
      <c r="E22" s="132"/>
      <c r="F22" s="133"/>
      <c r="G22" s="102"/>
      <c r="H22" s="102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</row>
    <row r="23" ht="23.25" spans="3:19">
      <c r="C23" s="134" t="s">
        <v>13</v>
      </c>
      <c r="D23" s="103" t="s">
        <v>14</v>
      </c>
      <c r="E23" s="75" t="s">
        <v>15</v>
      </c>
      <c r="F23" s="76"/>
      <c r="G23" s="86"/>
      <c r="H23" s="86"/>
      <c r="I23" s="206" t="s">
        <v>47</v>
      </c>
      <c r="J23" s="207"/>
      <c r="K23" s="207"/>
      <c r="L23" s="207"/>
      <c r="M23" s="207"/>
      <c r="N23" s="207"/>
      <c r="O23" s="207"/>
      <c r="P23" s="207"/>
      <c r="Q23" s="207"/>
      <c r="R23" s="207"/>
      <c r="S23" s="224"/>
    </row>
    <row r="24" ht="17.25" spans="3:21">
      <c r="C24" s="77" t="s">
        <v>20</v>
      </c>
      <c r="D24" s="135">
        <v>30982</v>
      </c>
      <c r="E24" s="79" t="s">
        <v>63</v>
      </c>
      <c r="F24" s="80"/>
      <c r="G24" s="86"/>
      <c r="H24" s="86"/>
      <c r="I24" s="208" t="s">
        <v>253</v>
      </c>
      <c r="J24" s="209" t="s">
        <v>254</v>
      </c>
      <c r="K24" s="210" t="s">
        <v>255</v>
      </c>
      <c r="L24" s="210" t="s">
        <v>256</v>
      </c>
      <c r="M24" s="209" t="s">
        <v>257</v>
      </c>
      <c r="N24" s="209" t="s">
        <v>258</v>
      </c>
      <c r="O24" s="209" t="s">
        <v>259</v>
      </c>
      <c r="P24" s="209" t="s">
        <v>260</v>
      </c>
      <c r="Q24" s="209" t="s">
        <v>261</v>
      </c>
      <c r="R24" s="209" t="s">
        <v>262</v>
      </c>
      <c r="S24" s="225" t="s">
        <v>263</v>
      </c>
      <c r="T24" s="226"/>
      <c r="U24" s="226"/>
    </row>
    <row r="25" ht="17.25" spans="3:31">
      <c r="C25" s="77" t="s">
        <v>25</v>
      </c>
      <c r="D25" s="135">
        <v>44208</v>
      </c>
      <c r="E25" s="79"/>
      <c r="F25" s="80"/>
      <c r="G25" s="86"/>
      <c r="H25" s="86"/>
      <c r="I25" s="211" t="str">
        <f>'伤害统计(理想)'!A82</f>
        <v>两仪化形(3.5</v>
      </c>
      <c r="J25" s="212">
        <f>'伤害统计(理想)'!B82</f>
        <v>0</v>
      </c>
      <c r="K25" s="210">
        <v>126</v>
      </c>
      <c r="L25" s="210">
        <v>105</v>
      </c>
      <c r="M25" s="212">
        <f>'伤害统计(理想)'!D82</f>
        <v>0</v>
      </c>
      <c r="N25" s="213">
        <f>'伤害统计(理想)'!E82</f>
        <v>0</v>
      </c>
      <c r="O25" s="214">
        <f>'伤害统计(理想)'!F82</f>
        <v>0</v>
      </c>
      <c r="P25" s="212" t="e">
        <f>'伤害统计(理想)'!U50+'伤害统计(理想)'!O48+'伤害统计(理想)'!O45+'伤害统计(理想)'!AG45+'伤害统计(理想)'!AN45+'伤害统计(理想)'!AJ47+'伤害统计(理想)'!O43+'伤害统计(理想)'!AG43</f>
        <v>#VALUE!</v>
      </c>
      <c r="Q25" s="227">
        <v>0</v>
      </c>
      <c r="R25" s="228" t="s">
        <v>73</v>
      </c>
      <c r="S25" s="229" t="s">
        <v>57</v>
      </c>
      <c r="W25" s="223"/>
      <c r="X25" s="223"/>
      <c r="Y25" s="223"/>
      <c r="Z25" s="226"/>
      <c r="AA25" s="226"/>
      <c r="AB25" s="226"/>
      <c r="AC25" s="226"/>
      <c r="AD25" s="226"/>
      <c r="AE25" s="226"/>
    </row>
    <row r="26" ht="17.25" spans="3:31">
      <c r="C26" s="77" t="s">
        <v>28</v>
      </c>
      <c r="D26" s="136">
        <v>0.3726</v>
      </c>
      <c r="E26" s="79"/>
      <c r="F26" s="80"/>
      <c r="G26" s="86"/>
      <c r="H26" s="86"/>
      <c r="I26" s="211" t="str">
        <f>'伤害统计(理想)'!A83</f>
        <v>六合1</v>
      </c>
      <c r="J26" s="212">
        <f>'伤害统计(理想)'!B83</f>
        <v>1078653.849</v>
      </c>
      <c r="K26" s="210">
        <v>630</v>
      </c>
      <c r="L26" s="210">
        <v>520</v>
      </c>
      <c r="M26" s="212">
        <f>'伤害统计(理想)'!D83</f>
        <v>0</v>
      </c>
      <c r="N26" s="213">
        <f>'伤害统计(理想)'!E83</f>
        <v>0</v>
      </c>
      <c r="O26" s="214">
        <f>'伤害统计(理想)'!F83</f>
        <v>0</v>
      </c>
      <c r="P26" s="212">
        <f>'伤害统计(理想)'!B48+'伤害统计(理想)'!D48+'伤害统计(理想)'!E48+'伤害统计(理想)'!F48+'伤害统计(理想)'!G48+'伤害统计(理想)'!B45+'伤害统计(理想)'!D45+'伤害统计(理想)'!E45+'伤害统计(理想)'!F45+'伤害统计(理想)'!G45+'伤害统计(理想)'!AD47+'伤害统计(理想)'!AE47+'伤害统计(理想)'!AF47+'伤害统计(理想)'!AG47+'伤害统计(理想)'!AH47</f>
        <v>19</v>
      </c>
      <c r="Q26" s="230">
        <v>425</v>
      </c>
      <c r="R26" s="231" t="s">
        <v>264</v>
      </c>
      <c r="S26" s="229" t="s">
        <v>57</v>
      </c>
      <c r="W26" s="218"/>
      <c r="X26" s="218"/>
      <c r="Y26" s="29"/>
      <c r="Z26" s="29"/>
      <c r="AA26" s="21"/>
      <c r="AB26" s="21"/>
      <c r="AC26" s="21"/>
      <c r="AD26" s="21"/>
      <c r="AE26" s="21"/>
    </row>
    <row r="27" ht="17.25" spans="3:31">
      <c r="C27" s="77" t="s">
        <v>32</v>
      </c>
      <c r="D27" s="137">
        <v>1.8502</v>
      </c>
      <c r="E27" s="79"/>
      <c r="F27" s="80"/>
      <c r="G27" s="86"/>
      <c r="H27" s="86"/>
      <c r="I27" s="211" t="str">
        <f>'伤害统计(理想)'!A84</f>
        <v>六合2</v>
      </c>
      <c r="J27" s="212">
        <f>'伤害统计(理想)'!B84</f>
        <v>672087.4704</v>
      </c>
      <c r="K27" s="210">
        <v>126</v>
      </c>
      <c r="L27" s="210">
        <v>105</v>
      </c>
      <c r="M27" s="212">
        <f>'伤害统计(理想)'!D84</f>
        <v>0</v>
      </c>
      <c r="N27" s="213">
        <f>'伤害统计(理想)'!E84</f>
        <v>1065483.2475</v>
      </c>
      <c r="O27" s="214">
        <f>'伤害统计(理想)'!F84</f>
        <v>0</v>
      </c>
      <c r="P27" s="212">
        <f>'伤害统计(理想)'!N48+'伤害统计(理想)'!T50+'伤害统计(理想)'!U48+'伤害统计(理想)'!N45+'伤害统计(理想)'!AC45+'伤害统计(理想)'!AD45+'伤害统计(理想)'!AF45+'伤害统计(理想)'!AM45-'伤害统计(理想)'!AG50*D49*D42</f>
        <v>15</v>
      </c>
      <c r="Q27" s="230">
        <v>47</v>
      </c>
      <c r="R27" s="231" t="s">
        <v>264</v>
      </c>
      <c r="S27" s="229" t="s">
        <v>57</v>
      </c>
      <c r="W27" s="218"/>
      <c r="X27" s="218"/>
      <c r="Y27" s="29"/>
      <c r="Z27" s="29"/>
      <c r="AA27" s="21"/>
      <c r="AB27" s="21"/>
      <c r="AC27" s="21"/>
      <c r="AD27" s="21"/>
      <c r="AE27" s="21"/>
    </row>
    <row r="28" ht="17.25" spans="3:31">
      <c r="C28" s="77" t="s">
        <v>35</v>
      </c>
      <c r="D28" s="137">
        <v>0.4354</v>
      </c>
      <c r="E28" s="79"/>
      <c r="F28" s="80"/>
      <c r="G28" s="86"/>
      <c r="H28" s="86"/>
      <c r="I28" s="211" t="str">
        <f>'伤害统计(理想)'!A85</f>
        <v>六合3</v>
      </c>
      <c r="J28" s="212">
        <f>'伤害统计(理想)'!B85</f>
        <v>846325.7064</v>
      </c>
      <c r="K28" s="210">
        <v>168</v>
      </c>
      <c r="L28" s="210">
        <v>168</v>
      </c>
      <c r="M28" s="212">
        <f>'伤害统计(理想)'!D85</f>
        <v>0</v>
      </c>
      <c r="N28" s="213">
        <f>'伤害统计(理想)'!E85</f>
        <v>1341707.305</v>
      </c>
      <c r="O28" s="214">
        <f>'伤害统计(理想)'!F85</f>
        <v>0</v>
      </c>
      <c r="P28" s="212">
        <f>'伤害统计(理想)'!AC50+'伤害统计(理想)'!AJ43</f>
        <v>0</v>
      </c>
      <c r="Q28" s="227">
        <v>0</v>
      </c>
      <c r="R28" s="228" t="s">
        <v>73</v>
      </c>
      <c r="S28" s="229" t="s">
        <v>57</v>
      </c>
      <c r="W28" s="218"/>
      <c r="X28" s="218"/>
      <c r="Y28" s="29"/>
      <c r="Z28" s="29"/>
      <c r="AA28" s="21"/>
      <c r="AB28" s="21"/>
      <c r="AC28" s="21"/>
      <c r="AD28" s="21"/>
      <c r="AE28" s="21"/>
    </row>
    <row r="29" ht="17.25" spans="3:31">
      <c r="C29" s="77" t="s">
        <v>38</v>
      </c>
      <c r="D29" s="137">
        <v>0.3781</v>
      </c>
      <c r="E29" s="79"/>
      <c r="F29" s="80"/>
      <c r="G29" s="86"/>
      <c r="H29" s="86"/>
      <c r="I29" s="211" t="str">
        <f>'伤害统计(理想)'!A86</f>
        <v>六合4</v>
      </c>
      <c r="J29" s="212">
        <f>'伤害统计(理想)'!B86</f>
        <v>1020575.9352</v>
      </c>
      <c r="K29" s="210">
        <v>93</v>
      </c>
      <c r="L29" s="210">
        <v>93</v>
      </c>
      <c r="M29" s="212">
        <f>'伤害统计(理想)'!D86</f>
        <v>0</v>
      </c>
      <c r="N29" s="213">
        <f>'伤害统计(理想)'!E86</f>
        <v>1617947.515</v>
      </c>
      <c r="O29" s="214">
        <f>'伤害统计(理想)'!F86</f>
        <v>0</v>
      </c>
      <c r="P29" s="212">
        <f>'伤害统计(理想)'!H45+'伤害统计(理想)'!I45+'伤害统计(理想)'!J45+'伤害统计(理想)'!L45+'伤害统计(理想)'!M45+'伤害统计(理想)'!H48+'伤害统计(理想)'!I48+'伤害统计(理想)'!J48+'伤害统计(理想)'!L48+'伤害统计(理想)'!M48+('伤害统计(理想)'!H43-'伤害统计(理想)'!I43)+4*D36*D65</f>
        <v>33</v>
      </c>
      <c r="Q29" s="230">
        <v>30</v>
      </c>
      <c r="R29" s="231" t="s">
        <v>264</v>
      </c>
      <c r="S29" s="229" t="s">
        <v>57</v>
      </c>
      <c r="W29" s="218"/>
      <c r="X29" s="218"/>
      <c r="Y29" s="29"/>
      <c r="Z29" s="29"/>
      <c r="AA29" s="21"/>
      <c r="AB29" s="21"/>
      <c r="AC29" s="21"/>
      <c r="AD29" s="21"/>
      <c r="AE29" s="21"/>
    </row>
    <row r="30" ht="17.25" spans="3:31">
      <c r="C30" s="77" t="s">
        <v>42</v>
      </c>
      <c r="D30" s="135">
        <v>20998</v>
      </c>
      <c r="E30" s="79"/>
      <c r="F30" s="80"/>
      <c r="G30" s="86"/>
      <c r="H30" s="86"/>
      <c r="I30" s="211" t="str">
        <f>'伤害统计(理想)'!A87</f>
        <v>六合5</v>
      </c>
      <c r="J30" s="212">
        <f>'伤害统计(理想)'!B87</f>
        <v>1194823.1676</v>
      </c>
      <c r="K30" s="210">
        <v>28</v>
      </c>
      <c r="L30" s="210">
        <v>28</v>
      </c>
      <c r="M30" s="212">
        <f>'伤害统计(理想)'!D87</f>
        <v>0</v>
      </c>
      <c r="N30" s="213">
        <f>'伤害统计(理想)'!E87</f>
        <v>1894184.0075</v>
      </c>
      <c r="O30" s="214">
        <f>'伤害统计(理想)'!F87</f>
        <v>0</v>
      </c>
      <c r="P30" s="212">
        <v>0</v>
      </c>
      <c r="Q30" s="230">
        <v>28</v>
      </c>
      <c r="R30" s="231" t="s">
        <v>264</v>
      </c>
      <c r="S30" s="232" t="s">
        <v>64</v>
      </c>
      <c r="W30" s="218"/>
      <c r="X30" s="218"/>
      <c r="Y30" s="29"/>
      <c r="Z30" s="29"/>
      <c r="AA30" s="21"/>
      <c r="AB30" s="21"/>
      <c r="AC30" s="21"/>
      <c r="AD30" s="21"/>
      <c r="AE30" s="21"/>
    </row>
    <row r="31" ht="16.5" spans="3:31">
      <c r="C31" s="138" t="s">
        <v>66</v>
      </c>
      <c r="D31" s="139">
        <v>300</v>
      </c>
      <c r="E31" s="140"/>
      <c r="F31" s="141"/>
      <c r="G31" s="86"/>
      <c r="H31" s="86"/>
      <c r="I31" s="211" t="str">
        <f>'伤害统计(理想)'!A88</f>
        <v>破</v>
      </c>
      <c r="J31" s="212">
        <f>'伤害统计(理想)'!B88</f>
        <v>27285313.6548</v>
      </c>
      <c r="K31" s="210">
        <v>0</v>
      </c>
      <c r="L31" s="210">
        <v>28</v>
      </c>
      <c r="M31" s="212">
        <f>'伤害统计(理想)'!D88</f>
        <v>3258513.1525</v>
      </c>
      <c r="N31" s="213">
        <f>'伤害统计(理想)'!E88</f>
        <v>10488284.58</v>
      </c>
      <c r="O31" s="214">
        <f>'伤害统计(理想)'!F88</f>
        <v>1248448.462</v>
      </c>
      <c r="P31" s="212">
        <f>M31</f>
        <v>3258513.1525</v>
      </c>
      <c r="Q31" s="212">
        <v>0</v>
      </c>
      <c r="R31" s="228" t="s">
        <v>73</v>
      </c>
      <c r="S31" s="229" t="s">
        <v>57</v>
      </c>
      <c r="W31" s="218"/>
      <c r="X31" s="218"/>
      <c r="Y31" s="29"/>
      <c r="Z31" s="29"/>
      <c r="AA31" s="21"/>
      <c r="AB31" s="21"/>
      <c r="AC31" s="21"/>
      <c r="AD31" s="21"/>
      <c r="AE31" s="21"/>
    </row>
    <row r="32" ht="16.5" spans="3:31">
      <c r="C32" s="142" t="s">
        <v>265</v>
      </c>
      <c r="D32" s="142"/>
      <c r="E32" s="142"/>
      <c r="F32" s="142"/>
      <c r="G32" s="86"/>
      <c r="H32" s="86"/>
      <c r="I32" s="211" t="str">
        <f>'伤害统计(理想)'!A89</f>
        <v>破(3.5</v>
      </c>
      <c r="J32" s="212">
        <f>'伤害统计(理想)'!B89</f>
        <v>0</v>
      </c>
      <c r="K32" s="210">
        <v>0</v>
      </c>
      <c r="L32" s="210">
        <v>0</v>
      </c>
      <c r="M32" s="212">
        <f>'伤害统计(理想)'!D89</f>
        <v>0</v>
      </c>
      <c r="N32" s="213">
        <f>'伤害统计(理想)'!E89</f>
        <v>0</v>
      </c>
      <c r="O32" s="214">
        <f>'伤害统计(理想)'!F89</f>
        <v>0</v>
      </c>
      <c r="P32" s="212">
        <f>1*D34</f>
        <v>0</v>
      </c>
      <c r="Q32" s="212">
        <v>0</v>
      </c>
      <c r="R32" s="228" t="s">
        <v>73</v>
      </c>
      <c r="S32" s="229" t="s">
        <v>57</v>
      </c>
      <c r="W32" s="218"/>
      <c r="X32" s="218"/>
      <c r="Y32" s="29"/>
      <c r="Z32" s="29"/>
      <c r="AA32" s="21"/>
      <c r="AB32" s="21"/>
      <c r="AC32" s="21"/>
      <c r="AD32" s="21"/>
      <c r="AE32" s="21"/>
    </row>
    <row r="33" ht="17.25" spans="3:31">
      <c r="C33" s="142"/>
      <c r="D33" s="142"/>
      <c r="E33" s="142"/>
      <c r="F33" s="142"/>
      <c r="G33" s="86"/>
      <c r="H33" s="86"/>
      <c r="I33" s="211" t="str">
        <f>'伤害统计(理想)'!A90</f>
        <v>破(万世二段</v>
      </c>
      <c r="J33" s="212">
        <f>'伤害统计(理想)'!B90</f>
        <v>2556864.5424</v>
      </c>
      <c r="K33" s="210">
        <v>0</v>
      </c>
      <c r="L33" s="210">
        <v>0</v>
      </c>
      <c r="M33" s="212">
        <f>'伤害统计(理想)'!D90</f>
        <v>0</v>
      </c>
      <c r="N33" s="213">
        <f>'伤害统计(理想)'!E90</f>
        <v>0</v>
      </c>
      <c r="O33" s="214">
        <f>'伤害统计(理想)'!F90</f>
        <v>0</v>
      </c>
      <c r="P33" s="212">
        <v>0</v>
      </c>
      <c r="Q33" s="212">
        <f>1*D35</f>
        <v>0</v>
      </c>
      <c r="R33" s="228" t="s">
        <v>73</v>
      </c>
      <c r="S33" s="229" t="s">
        <v>57</v>
      </c>
      <c r="W33" s="218"/>
      <c r="X33" s="218"/>
      <c r="Y33" s="29"/>
      <c r="Z33" s="29"/>
      <c r="AA33" s="21"/>
      <c r="AB33" s="21"/>
      <c r="AC33" s="21"/>
      <c r="AD33" s="21"/>
      <c r="AE33" s="21"/>
    </row>
    <row r="34" ht="17.25" spans="3:31">
      <c r="C34" s="77" t="s">
        <v>70</v>
      </c>
      <c r="D34" s="135">
        <v>0</v>
      </c>
      <c r="E34" s="143" t="s">
        <v>71</v>
      </c>
      <c r="F34" s="144"/>
      <c r="G34" s="86"/>
      <c r="H34" s="86"/>
      <c r="I34" s="211" t="str">
        <f>'伤害统计(理想)'!A91</f>
        <v>三才化生</v>
      </c>
      <c r="J34" s="212">
        <f>'伤害统计(理想)'!B91</f>
        <v>110917.044</v>
      </c>
      <c r="K34" s="210">
        <v>10</v>
      </c>
      <c r="L34" s="210">
        <v>10</v>
      </c>
      <c r="M34" s="212">
        <f>'伤害统计(理想)'!D91</f>
        <v>0</v>
      </c>
      <c r="N34" s="213">
        <f>'伤害统计(理想)'!E91</f>
        <v>0</v>
      </c>
      <c r="O34" s="214">
        <f>'伤害统计(理想)'!F91</f>
        <v>0</v>
      </c>
      <c r="P34" s="212">
        <f>D37</f>
        <v>10</v>
      </c>
      <c r="Q34" s="212">
        <v>0</v>
      </c>
      <c r="R34" s="228" t="s">
        <v>73</v>
      </c>
      <c r="S34" s="229" t="s">
        <v>57</v>
      </c>
      <c r="W34" s="223"/>
      <c r="X34" s="223"/>
      <c r="Y34" s="223"/>
      <c r="Z34" s="223"/>
      <c r="AA34" s="223"/>
      <c r="AB34" s="223"/>
      <c r="AC34" s="223"/>
      <c r="AD34" s="223"/>
      <c r="AE34" s="223"/>
    </row>
    <row r="35" ht="17.25" spans="3:31">
      <c r="C35" s="77" t="s">
        <v>72</v>
      </c>
      <c r="D35" s="135">
        <v>0</v>
      </c>
      <c r="E35" s="143" t="s">
        <v>71</v>
      </c>
      <c r="F35" s="144"/>
      <c r="G35" s="86"/>
      <c r="H35" s="86"/>
      <c r="I35" s="211" t="str">
        <f>'伤害统计(理想)'!A92</f>
        <v>厚亡</v>
      </c>
      <c r="J35" s="212">
        <f>'伤害统计(理想)'!B92</f>
        <v>0</v>
      </c>
      <c r="K35" s="210" t="s">
        <v>65</v>
      </c>
      <c r="L35" s="210" t="s">
        <v>65</v>
      </c>
      <c r="M35" s="212">
        <f>'伤害统计(理想)'!D92</f>
        <v>0</v>
      </c>
      <c r="N35" s="213">
        <f>'伤害统计(理想)'!E92</f>
        <v>0</v>
      </c>
      <c r="O35" s="214">
        <f>'伤害统计(理想)'!F92</f>
        <v>0</v>
      </c>
      <c r="P35" s="212">
        <f>M35</f>
        <v>0</v>
      </c>
      <c r="Q35" s="212">
        <v>0</v>
      </c>
      <c r="R35" s="228" t="s">
        <v>73</v>
      </c>
      <c r="S35" s="232" t="s">
        <v>64</v>
      </c>
      <c r="W35" s="223"/>
      <c r="X35" s="223"/>
      <c r="Y35" s="223"/>
      <c r="Z35" s="223"/>
      <c r="AA35" s="223"/>
      <c r="AB35" s="223"/>
      <c r="AC35" s="223"/>
      <c r="AD35" s="223"/>
      <c r="AE35" s="223"/>
    </row>
    <row r="36" ht="17.25" spans="3:19">
      <c r="C36" s="77" t="s">
        <v>74</v>
      </c>
      <c r="D36" s="135">
        <f>ROUNDUP(D31/45,0)</f>
        <v>7</v>
      </c>
      <c r="E36" s="145" t="s">
        <v>75</v>
      </c>
      <c r="F36" s="146"/>
      <c r="G36" s="86"/>
      <c r="H36" s="86"/>
      <c r="I36" s="211" t="str">
        <f>'伤害统计(理想)'!A93</f>
        <v>刃凌</v>
      </c>
      <c r="J36" s="212">
        <f>'伤害统计(理想)'!B93</f>
        <v>405436.3616</v>
      </c>
      <c r="K36" s="210">
        <v>0</v>
      </c>
      <c r="L36" s="210">
        <v>0</v>
      </c>
      <c r="M36" s="212">
        <f>'伤害统计(理想)'!D93</f>
        <v>0</v>
      </c>
      <c r="N36" s="213">
        <f>'伤害统计(理想)'!E93</f>
        <v>240914.53</v>
      </c>
      <c r="O36" s="214">
        <f>'伤害统计(理想)'!F93</f>
        <v>86033.1704</v>
      </c>
      <c r="P36" s="212">
        <f>D34*6</f>
        <v>0</v>
      </c>
      <c r="Q36" s="212">
        <v>0</v>
      </c>
      <c r="R36" s="228" t="s">
        <v>73</v>
      </c>
      <c r="S36" s="229" t="s">
        <v>57</v>
      </c>
    </row>
    <row r="37" ht="17.25" spans="3:24">
      <c r="C37" s="138" t="s">
        <v>266</v>
      </c>
      <c r="D37" s="147">
        <f>INT(ROUNDUP(D31/45,0)/2*3)</f>
        <v>10</v>
      </c>
      <c r="E37" s="148" t="s">
        <v>75</v>
      </c>
      <c r="F37" s="149"/>
      <c r="G37" s="86"/>
      <c r="H37" s="86"/>
      <c r="I37" s="211" t="str">
        <f>'伤害统计(理想)'!A94</f>
        <v>昆吾·弦刃</v>
      </c>
      <c r="J37" s="212">
        <f>'伤害统计(理想)'!B94</f>
        <v>637430.1416</v>
      </c>
      <c r="K37" s="210" t="s">
        <v>65</v>
      </c>
      <c r="L37" s="210" t="s">
        <v>65</v>
      </c>
      <c r="M37" s="212">
        <f>'伤害统计(理想)'!D94</f>
        <v>0</v>
      </c>
      <c r="N37" s="213">
        <f>'伤害统计(理想)'!E94</f>
        <v>173237.286</v>
      </c>
      <c r="O37" s="214">
        <f>'伤害统计(理想)'!F94</f>
        <v>0</v>
      </c>
      <c r="P37" s="212">
        <f>M37</f>
        <v>0</v>
      </c>
      <c r="Q37" s="212">
        <v>0</v>
      </c>
      <c r="R37" s="228" t="s">
        <v>73</v>
      </c>
      <c r="S37" s="232" t="s">
        <v>64</v>
      </c>
      <c r="T37" s="226"/>
      <c r="U37" s="226"/>
      <c r="V37" s="226"/>
      <c r="W37" s="226"/>
      <c r="X37" s="226"/>
    </row>
    <row r="38" ht="17.25" spans="3:24">
      <c r="C38" s="150" t="s">
        <v>267</v>
      </c>
      <c r="D38" s="151"/>
      <c r="E38" s="152"/>
      <c r="F38" s="153"/>
      <c r="G38" s="86"/>
      <c r="H38" s="86"/>
      <c r="I38" s="211" t="str">
        <f>'伤害统计(理想)'!A95</f>
        <v>腾空·三才</v>
      </c>
      <c r="J38" s="212">
        <f>'伤害统计(理想)'!B95</f>
        <v>0</v>
      </c>
      <c r="K38" s="210">
        <v>7</v>
      </c>
      <c r="L38" s="210">
        <v>7</v>
      </c>
      <c r="M38" s="212">
        <f>'伤害统计(理想)'!D95</f>
        <v>0</v>
      </c>
      <c r="N38" s="213">
        <f>'伤害统计(理想)'!E95</f>
        <v>0</v>
      </c>
      <c r="O38" s="214">
        <f>'伤害统计(理想)'!F95</f>
        <v>0</v>
      </c>
      <c r="P38" s="212">
        <f>D36</f>
        <v>7</v>
      </c>
      <c r="Q38" s="212">
        <v>0</v>
      </c>
      <c r="R38" s="228" t="s">
        <v>73</v>
      </c>
      <c r="S38" s="229" t="s">
        <v>57</v>
      </c>
      <c r="T38" s="226"/>
      <c r="U38" s="226"/>
      <c r="V38" s="226"/>
      <c r="W38" s="226"/>
      <c r="X38" s="226"/>
    </row>
    <row r="39" ht="17.25" spans="3:24">
      <c r="C39" s="154"/>
      <c r="D39" s="155"/>
      <c r="E39" s="156"/>
      <c r="F39" s="157"/>
      <c r="G39" s="86"/>
      <c r="H39" s="86"/>
      <c r="I39" s="211" t="str">
        <f>'伤害统计(理想)'!A96</f>
        <v>腾空·凭虚</v>
      </c>
      <c r="J39" s="212">
        <f>'伤害统计(理想)'!B96</f>
        <v>0</v>
      </c>
      <c r="K39" s="210">
        <v>10</v>
      </c>
      <c r="L39" s="210">
        <v>10</v>
      </c>
      <c r="M39" s="212">
        <f>'伤害统计(理想)'!D96</f>
        <v>0</v>
      </c>
      <c r="N39" s="213">
        <f>'伤害统计(理想)'!E96</f>
        <v>0</v>
      </c>
      <c r="O39" s="214">
        <f>'伤害统计(理想)'!F96</f>
        <v>0</v>
      </c>
      <c r="P39" s="215">
        <f>D37</f>
        <v>10</v>
      </c>
      <c r="Q39" s="215">
        <v>0</v>
      </c>
      <c r="R39" s="228" t="s">
        <v>73</v>
      </c>
      <c r="S39" s="229" t="s">
        <v>57</v>
      </c>
      <c r="T39" s="226"/>
      <c r="U39" s="226"/>
      <c r="V39" s="226"/>
      <c r="W39" s="226"/>
      <c r="X39" s="226"/>
    </row>
    <row r="40" ht="16.5" spans="2:24">
      <c r="B40" s="158" t="s">
        <v>268</v>
      </c>
      <c r="C40" s="159"/>
      <c r="D40" s="159"/>
      <c r="E40" s="159"/>
      <c r="F40" s="159"/>
      <c r="G40" s="160"/>
      <c r="H40" s="86"/>
      <c r="I40" s="211" t="str">
        <f>'伤害统计(理想)'!A97</f>
        <v>腾空·凭虚·定</v>
      </c>
      <c r="J40" s="212">
        <f>'伤害统计(理想)'!B97</f>
        <v>0</v>
      </c>
      <c r="K40" s="210">
        <v>0</v>
      </c>
      <c r="L40" s="210">
        <v>77</v>
      </c>
      <c r="M40" s="212">
        <f>'伤害统计(理想)'!D97</f>
        <v>0</v>
      </c>
      <c r="N40" s="213">
        <f>'伤害统计(理想)'!E97</f>
        <v>0</v>
      </c>
      <c r="O40" s="214">
        <f>'伤害统计(理想)'!F97</f>
        <v>0</v>
      </c>
      <c r="P40" s="212">
        <f>'伤害统计(理想)'!H97</f>
        <v>0</v>
      </c>
      <c r="Q40" s="212">
        <v>0</v>
      </c>
      <c r="R40" s="228" t="s">
        <v>73</v>
      </c>
      <c r="S40" s="229" t="s">
        <v>57</v>
      </c>
      <c r="T40" s="226"/>
      <c r="U40" s="226"/>
      <c r="V40" s="226"/>
      <c r="W40" s="226"/>
      <c r="X40" s="226"/>
    </row>
    <row r="41" ht="17.25" spans="2:24">
      <c r="B41" s="161"/>
      <c r="C41" s="162"/>
      <c r="D41" s="162"/>
      <c r="E41" s="162"/>
      <c r="F41" s="162"/>
      <c r="G41" s="163"/>
      <c r="H41" s="86"/>
      <c r="I41" s="216"/>
      <c r="J41" s="217"/>
      <c r="K41" s="217"/>
      <c r="L41" s="217"/>
      <c r="M41" s="217"/>
      <c r="N41" s="217"/>
      <c r="O41" s="217"/>
      <c r="P41" s="217"/>
      <c r="Q41" s="217"/>
      <c r="R41" s="233"/>
      <c r="S41" s="234"/>
      <c r="T41" s="226"/>
      <c r="U41" s="226"/>
      <c r="V41" s="226"/>
      <c r="W41" s="226"/>
      <c r="X41" s="226"/>
    </row>
    <row r="42" ht="17.25" spans="2:24">
      <c r="B42" s="164"/>
      <c r="C42" s="165" t="s">
        <v>80</v>
      </c>
      <c r="D42" s="166">
        <v>0</v>
      </c>
      <c r="E42" s="167" t="s">
        <v>78</v>
      </c>
      <c r="F42" s="167"/>
      <c r="G42" s="164"/>
      <c r="H42" s="86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26"/>
      <c r="U42" s="226"/>
      <c r="V42" s="226"/>
      <c r="W42" s="226"/>
      <c r="X42" s="226"/>
    </row>
    <row r="43" ht="17.25" spans="2:24">
      <c r="B43" s="168"/>
      <c r="C43" s="169" t="s">
        <v>81</v>
      </c>
      <c r="D43" s="170" t="s">
        <v>82</v>
      </c>
      <c r="E43" s="171" t="s">
        <v>83</v>
      </c>
      <c r="F43" s="171"/>
      <c r="G43" s="168"/>
      <c r="H43" s="86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26"/>
      <c r="U43" s="226"/>
      <c r="V43" s="226"/>
      <c r="W43" s="226"/>
      <c r="X43" s="226"/>
    </row>
    <row r="44" ht="20.25" spans="2:24">
      <c r="B44" s="172"/>
      <c r="C44" s="173" t="s">
        <v>84</v>
      </c>
      <c r="D44" s="174"/>
      <c r="E44" s="174"/>
      <c r="F44" s="175"/>
      <c r="G44" s="176"/>
      <c r="H44" s="86"/>
      <c r="I44" s="36"/>
      <c r="J44" s="36"/>
      <c r="K44" s="36"/>
      <c r="L44" s="36"/>
      <c r="M44" s="36"/>
      <c r="O44" s="220"/>
      <c r="P44" s="221"/>
      <c r="Q44" s="226"/>
      <c r="R44" s="226"/>
      <c r="S44" s="226"/>
      <c r="T44" s="226"/>
      <c r="U44" s="226"/>
      <c r="V44" s="226"/>
      <c r="W44" s="226"/>
      <c r="X44" s="226"/>
    </row>
    <row r="45" ht="21" spans="2:24">
      <c r="B45" s="177"/>
      <c r="C45" s="178"/>
      <c r="D45" s="179"/>
      <c r="E45" s="179"/>
      <c r="F45" s="180"/>
      <c r="G45" s="181"/>
      <c r="H45" s="86"/>
      <c r="I45" s="36"/>
      <c r="J45" s="36"/>
      <c r="K45" s="36"/>
      <c r="L45" s="36"/>
      <c r="M45" s="36"/>
      <c r="O45" s="220"/>
      <c r="P45" s="221"/>
      <c r="Q45" s="226"/>
      <c r="R45" s="226"/>
      <c r="S45" s="226"/>
      <c r="T45" s="226"/>
      <c r="U45" s="226"/>
      <c r="V45" s="226"/>
      <c r="W45" s="226"/>
      <c r="X45" s="226"/>
    </row>
    <row r="46" ht="17.25" spans="2:24">
      <c r="B46" s="182"/>
      <c r="C46" s="183" t="s">
        <v>85</v>
      </c>
      <c r="D46" s="184">
        <v>5</v>
      </c>
      <c r="E46" s="185" t="s">
        <v>86</v>
      </c>
      <c r="F46" s="186"/>
      <c r="G46" s="187"/>
      <c r="H46" s="86"/>
      <c r="I46" s="36"/>
      <c r="J46" s="36"/>
      <c r="K46" s="36"/>
      <c r="L46" s="36"/>
      <c r="M46" s="36"/>
      <c r="O46" s="220"/>
      <c r="P46" s="221"/>
      <c r="Q46" s="226"/>
      <c r="R46" s="226"/>
      <c r="S46" s="226"/>
      <c r="T46" s="226"/>
      <c r="U46" s="226"/>
      <c r="V46" s="226"/>
      <c r="W46" s="226"/>
      <c r="X46" s="226"/>
    </row>
    <row r="47" ht="17.25" spans="2:24">
      <c r="B47" s="182"/>
      <c r="C47" s="183" t="s">
        <v>269</v>
      </c>
      <c r="D47" s="184">
        <v>1</v>
      </c>
      <c r="E47" s="185" t="s">
        <v>86</v>
      </c>
      <c r="F47" s="186"/>
      <c r="G47" s="187"/>
      <c r="H47" s="86"/>
      <c r="I47" s="36"/>
      <c r="J47" s="36"/>
      <c r="K47" s="36"/>
      <c r="L47" s="36"/>
      <c r="M47" s="36"/>
      <c r="O47" s="220"/>
      <c r="P47" s="221"/>
      <c r="Q47" s="226"/>
      <c r="R47" s="226"/>
      <c r="S47" s="226"/>
      <c r="T47" s="226"/>
      <c r="U47" s="226"/>
      <c r="V47" s="226"/>
      <c r="W47" s="226"/>
      <c r="X47" s="226"/>
    </row>
    <row r="48" ht="17.25" spans="2:24">
      <c r="B48" s="182"/>
      <c r="C48" s="183" t="s">
        <v>87</v>
      </c>
      <c r="D48" s="184">
        <v>2</v>
      </c>
      <c r="E48" s="185" t="s">
        <v>86</v>
      </c>
      <c r="F48" s="186"/>
      <c r="G48" s="187"/>
      <c r="H48" s="86"/>
      <c r="I48" s="36"/>
      <c r="J48" s="36"/>
      <c r="K48" s="36"/>
      <c r="L48" s="36"/>
      <c r="M48" s="36"/>
      <c r="O48" s="220"/>
      <c r="P48" s="221"/>
      <c r="Q48" s="226"/>
      <c r="R48" s="226"/>
      <c r="S48" s="226"/>
      <c r="T48" s="226"/>
      <c r="U48" s="226"/>
      <c r="V48" s="226"/>
      <c r="W48" s="226"/>
      <c r="X48" s="226"/>
    </row>
    <row r="49" ht="17.25" spans="2:24">
      <c r="B49" s="182"/>
      <c r="C49" s="183" t="s">
        <v>88</v>
      </c>
      <c r="D49" s="184">
        <v>4</v>
      </c>
      <c r="E49" s="185" t="s">
        <v>89</v>
      </c>
      <c r="F49" s="186"/>
      <c r="G49" s="187"/>
      <c r="H49" s="86"/>
      <c r="I49" s="36"/>
      <c r="J49" s="36"/>
      <c r="K49" s="36"/>
      <c r="L49" s="36"/>
      <c r="M49" s="36"/>
      <c r="O49" s="220"/>
      <c r="P49" s="221"/>
      <c r="R49" s="226"/>
      <c r="S49" s="226"/>
      <c r="T49" s="226"/>
      <c r="U49" s="226"/>
      <c r="V49" s="226"/>
      <c r="W49" s="226"/>
      <c r="X49" s="226"/>
    </row>
    <row r="50" ht="17.25" spans="2:24">
      <c r="B50" s="182"/>
      <c r="C50" s="188" t="s">
        <v>90</v>
      </c>
      <c r="D50" s="184">
        <v>10</v>
      </c>
      <c r="E50" s="189" t="s">
        <v>91</v>
      </c>
      <c r="F50" s="190"/>
      <c r="G50" s="187"/>
      <c r="H50" s="86"/>
      <c r="I50" s="36"/>
      <c r="J50" s="36"/>
      <c r="K50" s="36"/>
      <c r="L50" s="36"/>
      <c r="M50" s="36"/>
      <c r="O50" s="220"/>
      <c r="P50" s="221"/>
      <c r="Q50" s="226"/>
      <c r="R50" s="226"/>
      <c r="S50" s="226"/>
      <c r="T50" s="226"/>
      <c r="U50" s="226"/>
      <c r="V50" s="226"/>
      <c r="W50" s="226"/>
      <c r="X50" s="226"/>
    </row>
    <row r="51" ht="17.25" spans="2:24">
      <c r="B51" s="191"/>
      <c r="C51" s="192"/>
      <c r="D51" s="192"/>
      <c r="E51" s="192"/>
      <c r="F51" s="192"/>
      <c r="G51" s="193"/>
      <c r="H51" s="86"/>
      <c r="I51" s="36"/>
      <c r="J51" s="36"/>
      <c r="K51" s="36"/>
      <c r="L51" s="36"/>
      <c r="M51" s="36"/>
      <c r="O51" s="220"/>
      <c r="P51" s="221"/>
      <c r="Q51" s="226"/>
      <c r="R51" s="226"/>
      <c r="S51" s="226"/>
      <c r="T51" s="226"/>
      <c r="U51" s="226"/>
      <c r="V51" s="226"/>
      <c r="W51" s="226"/>
      <c r="X51" s="226"/>
    </row>
    <row r="52" ht="17.25" spans="3:24">
      <c r="C52" s="194" t="s">
        <v>94</v>
      </c>
      <c r="D52" s="195">
        <v>0</v>
      </c>
      <c r="E52" s="196" t="s">
        <v>270</v>
      </c>
      <c r="F52" s="197"/>
      <c r="G52" s="86"/>
      <c r="H52" s="86"/>
      <c r="I52" s="36"/>
      <c r="J52" s="36"/>
      <c r="K52" s="36"/>
      <c r="L52" s="36"/>
      <c r="M52" s="36"/>
      <c r="O52" s="220"/>
      <c r="P52" s="221"/>
      <c r="Q52" s="226"/>
      <c r="R52" s="226"/>
      <c r="S52" s="226"/>
      <c r="T52" s="226"/>
      <c r="U52" s="226"/>
      <c r="V52" s="226"/>
      <c r="W52" s="226"/>
      <c r="X52" s="226"/>
    </row>
    <row r="53" ht="17.25" spans="3:24">
      <c r="C53" s="77" t="s">
        <v>96</v>
      </c>
      <c r="D53" s="135">
        <v>1</v>
      </c>
      <c r="E53" s="79"/>
      <c r="F53" s="80"/>
      <c r="G53" s="86"/>
      <c r="H53" s="86"/>
      <c r="I53" s="222"/>
      <c r="J53" s="222"/>
      <c r="K53" s="222"/>
      <c r="L53" s="222"/>
      <c r="M53" s="221"/>
      <c r="N53" s="221"/>
      <c r="O53" s="221"/>
      <c r="P53" s="221"/>
      <c r="Q53" s="226"/>
      <c r="T53" s="21"/>
      <c r="U53" s="21"/>
      <c r="V53" s="21"/>
      <c r="W53" s="21"/>
      <c r="X53" s="21"/>
    </row>
    <row r="54" ht="17.25" spans="3:24">
      <c r="C54" s="77" t="s">
        <v>97</v>
      </c>
      <c r="D54" s="135">
        <v>1</v>
      </c>
      <c r="E54" s="79"/>
      <c r="F54" s="80"/>
      <c r="G54" s="86"/>
      <c r="H54" s="86"/>
      <c r="I54" s="218"/>
      <c r="J54" s="218"/>
      <c r="K54" s="218"/>
      <c r="L54" s="218"/>
      <c r="M54" s="29"/>
      <c r="N54" s="29"/>
      <c r="T54" s="21"/>
      <c r="U54" s="21"/>
      <c r="V54" s="21"/>
      <c r="W54" s="21"/>
      <c r="X54" s="21"/>
    </row>
    <row r="55" ht="17.25" spans="3:24">
      <c r="C55" s="77" t="s">
        <v>100</v>
      </c>
      <c r="D55" s="135">
        <v>1</v>
      </c>
      <c r="E55" s="79"/>
      <c r="F55" s="80"/>
      <c r="G55" s="86"/>
      <c r="H55" s="86"/>
      <c r="I55" s="218"/>
      <c r="J55" s="218"/>
      <c r="K55" s="218"/>
      <c r="L55" s="218"/>
      <c r="M55" s="29"/>
      <c r="N55" s="29"/>
      <c r="T55" s="21"/>
      <c r="U55" s="21"/>
      <c r="V55" s="21"/>
      <c r="W55" s="21"/>
      <c r="X55" s="21"/>
    </row>
    <row r="56" ht="17.25" spans="3:24">
      <c r="C56" s="77" t="s">
        <v>102</v>
      </c>
      <c r="D56" s="135">
        <v>1</v>
      </c>
      <c r="E56" s="79"/>
      <c r="F56" s="80"/>
      <c r="G56" s="86"/>
      <c r="H56" s="86"/>
      <c r="I56" s="218"/>
      <c r="J56" s="218"/>
      <c r="K56" s="218"/>
      <c r="L56" s="218"/>
      <c r="M56" s="29"/>
      <c r="N56" s="29"/>
      <c r="T56" s="21"/>
      <c r="U56" s="21"/>
      <c r="V56" s="21"/>
      <c r="W56" s="21"/>
      <c r="X56" s="21"/>
    </row>
    <row r="57" ht="17.25" spans="3:24">
      <c r="C57" s="77" t="s">
        <v>271</v>
      </c>
      <c r="D57" s="135">
        <v>1</v>
      </c>
      <c r="E57" s="79"/>
      <c r="F57" s="80"/>
      <c r="G57" s="86"/>
      <c r="H57" s="86"/>
      <c r="I57" s="218"/>
      <c r="J57" s="218"/>
      <c r="K57" s="218"/>
      <c r="L57" s="218"/>
      <c r="M57" s="29"/>
      <c r="N57" s="29"/>
      <c r="T57" s="21"/>
      <c r="U57" s="21"/>
      <c r="V57" s="21"/>
      <c r="W57" s="21"/>
      <c r="X57" s="21"/>
    </row>
    <row r="58" ht="17.25" spans="3:24">
      <c r="C58" s="77" t="s">
        <v>106</v>
      </c>
      <c r="D58" s="135">
        <v>1</v>
      </c>
      <c r="E58" s="79"/>
      <c r="F58" s="80"/>
      <c r="G58" s="86"/>
      <c r="H58" s="86"/>
      <c r="I58" s="218"/>
      <c r="J58" s="218"/>
      <c r="K58" s="218"/>
      <c r="L58" s="218"/>
      <c r="M58" s="29"/>
      <c r="N58" s="29"/>
      <c r="T58" s="21"/>
      <c r="U58" s="21"/>
      <c r="V58" s="21"/>
      <c r="W58" s="21"/>
      <c r="X58" s="21"/>
    </row>
    <row r="59" ht="17.25" spans="3:24">
      <c r="C59" s="77" t="s">
        <v>108</v>
      </c>
      <c r="D59" s="135">
        <v>1</v>
      </c>
      <c r="E59" s="79"/>
      <c r="F59" s="80"/>
      <c r="G59" s="86"/>
      <c r="H59" s="86"/>
      <c r="I59" s="218"/>
      <c r="J59" s="218"/>
      <c r="K59" s="218"/>
      <c r="L59" s="218"/>
      <c r="M59" s="29"/>
      <c r="N59" s="29"/>
      <c r="T59" s="21"/>
      <c r="U59" s="21"/>
      <c r="V59" s="21"/>
      <c r="W59" s="21"/>
      <c r="X59" s="21"/>
    </row>
    <row r="60" ht="17.25" spans="3:24">
      <c r="C60" s="77" t="s">
        <v>109</v>
      </c>
      <c r="D60" s="135">
        <v>1</v>
      </c>
      <c r="E60" s="79"/>
      <c r="F60" s="80"/>
      <c r="G60" s="86"/>
      <c r="H60" s="86"/>
      <c r="I60" s="218"/>
      <c r="J60" s="218"/>
      <c r="K60" s="218"/>
      <c r="L60" s="218"/>
      <c r="M60" s="29"/>
      <c r="N60" s="29"/>
      <c r="T60" s="21"/>
      <c r="U60" s="21"/>
      <c r="V60" s="21"/>
      <c r="W60" s="21"/>
      <c r="X60" s="21"/>
    </row>
    <row r="61" ht="17.25" spans="3:24">
      <c r="C61" s="77" t="s">
        <v>272</v>
      </c>
      <c r="D61" s="135">
        <v>0</v>
      </c>
      <c r="E61" s="79"/>
      <c r="F61" s="80"/>
      <c r="G61" s="86"/>
      <c r="H61" s="86"/>
      <c r="I61" s="218"/>
      <c r="J61" s="218"/>
      <c r="K61" s="218"/>
      <c r="L61" s="218"/>
      <c r="M61" s="29"/>
      <c r="N61" s="29"/>
      <c r="T61" s="21"/>
      <c r="U61" s="21"/>
      <c r="V61" s="21"/>
      <c r="W61" s="21"/>
      <c r="X61" s="21"/>
    </row>
    <row r="62" ht="17.25" spans="3:24">
      <c r="C62" s="77" t="s">
        <v>110</v>
      </c>
      <c r="D62" s="135">
        <v>1</v>
      </c>
      <c r="E62" s="79"/>
      <c r="F62" s="80"/>
      <c r="G62" s="86"/>
      <c r="H62" s="86"/>
      <c r="I62" s="218"/>
      <c r="J62" s="218"/>
      <c r="K62" s="218"/>
      <c r="L62" s="218"/>
      <c r="M62" s="29"/>
      <c r="N62" s="29"/>
      <c r="T62" s="21"/>
      <c r="U62" s="21"/>
      <c r="V62" s="21"/>
      <c r="W62" s="21"/>
      <c r="X62" s="21"/>
    </row>
    <row r="63" ht="17.25" spans="3:24">
      <c r="C63" s="138" t="s">
        <v>273</v>
      </c>
      <c r="D63" s="147">
        <v>0</v>
      </c>
      <c r="E63" s="79"/>
      <c r="F63" s="80"/>
      <c r="G63" s="86"/>
      <c r="H63" s="86"/>
      <c r="I63" s="218"/>
      <c r="J63" s="218"/>
      <c r="K63" s="218"/>
      <c r="L63" s="218"/>
      <c r="M63" s="29"/>
      <c r="N63" s="29"/>
      <c r="T63" s="21"/>
      <c r="U63" s="21"/>
      <c r="V63" s="21"/>
      <c r="W63" s="21"/>
      <c r="X63" s="21"/>
    </row>
    <row r="64" ht="17.25" spans="3:24">
      <c r="C64" s="198" t="s">
        <v>112</v>
      </c>
      <c r="D64" s="199">
        <v>0</v>
      </c>
      <c r="E64" s="79"/>
      <c r="F64" s="80"/>
      <c r="G64" s="86"/>
      <c r="H64" s="86"/>
      <c r="I64" s="223"/>
      <c r="J64" s="223"/>
      <c r="K64" s="223"/>
      <c r="L64" s="223"/>
      <c r="M64" s="223"/>
      <c r="N64" s="223"/>
      <c r="O64" s="223"/>
      <c r="P64" s="223"/>
      <c r="Q64" s="223"/>
      <c r="T64" s="21"/>
      <c r="U64" s="21"/>
      <c r="V64" s="21"/>
      <c r="W64" s="21"/>
      <c r="X64" s="21"/>
    </row>
    <row r="65" ht="17.25" spans="3:24">
      <c r="C65" s="235" t="s">
        <v>113</v>
      </c>
      <c r="D65" s="199">
        <v>1</v>
      </c>
      <c r="E65" s="79"/>
      <c r="F65" s="80"/>
      <c r="G65" s="86"/>
      <c r="H65" s="86"/>
      <c r="I65" s="223"/>
      <c r="J65" s="223"/>
      <c r="K65" s="223"/>
      <c r="L65" s="223"/>
      <c r="M65" s="223"/>
      <c r="N65" s="223"/>
      <c r="O65" s="223"/>
      <c r="P65" s="223"/>
      <c r="Q65" s="223"/>
      <c r="T65" s="21"/>
      <c r="U65" s="21"/>
      <c r="V65" s="21"/>
      <c r="W65" s="21"/>
      <c r="X65" s="21"/>
    </row>
    <row r="66" ht="17.25" spans="3:24">
      <c r="C66" s="236" t="s">
        <v>274</v>
      </c>
      <c r="D66" s="199">
        <v>1</v>
      </c>
      <c r="E66" s="79"/>
      <c r="F66" s="80"/>
      <c r="G66" s="86"/>
      <c r="H66" s="86"/>
      <c r="I66" s="223"/>
      <c r="J66" s="223"/>
      <c r="K66" s="223"/>
      <c r="L66" s="223"/>
      <c r="M66" s="223"/>
      <c r="N66" s="223"/>
      <c r="O66" s="223"/>
      <c r="P66" s="223"/>
      <c r="Q66" s="223"/>
      <c r="T66" s="21"/>
      <c r="U66" s="21"/>
      <c r="V66" s="21"/>
      <c r="W66" s="21"/>
      <c r="X66" s="21"/>
    </row>
    <row r="67" ht="17.25" spans="3:24">
      <c r="C67" s="123" t="s">
        <v>275</v>
      </c>
      <c r="D67" s="199">
        <v>0</v>
      </c>
      <c r="E67" s="79"/>
      <c r="F67" s="80"/>
      <c r="G67" s="86"/>
      <c r="H67" s="86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</row>
    <row r="68" ht="17.25" spans="3:24">
      <c r="C68" s="194" t="s">
        <v>114</v>
      </c>
      <c r="D68" s="237">
        <v>1</v>
      </c>
      <c r="E68" s="79"/>
      <c r="F68" s="80"/>
      <c r="G68" s="86"/>
      <c r="H68" s="86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</row>
    <row r="69" ht="17.25" spans="3:24">
      <c r="C69" s="238" t="s">
        <v>119</v>
      </c>
      <c r="D69" s="239"/>
      <c r="E69" s="240" t="s">
        <v>120</v>
      </c>
      <c r="F69" s="241"/>
      <c r="G69" s="86"/>
      <c r="H69" s="86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</row>
    <row r="70" ht="17.25" spans="3:24">
      <c r="C70" s="238" t="s">
        <v>121</v>
      </c>
      <c r="D70" s="239"/>
      <c r="E70" s="240"/>
      <c r="F70" s="241"/>
      <c r="G70" s="86"/>
      <c r="H70" s="86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</row>
    <row r="71" ht="17.25" spans="3:24">
      <c r="C71" s="238" t="s">
        <v>122</v>
      </c>
      <c r="D71" s="239"/>
      <c r="E71" s="240"/>
      <c r="F71" s="241"/>
      <c r="G71" s="86"/>
      <c r="H71" s="86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</row>
    <row r="72" ht="17.25" spans="3:24">
      <c r="C72" s="238" t="s">
        <v>123</v>
      </c>
      <c r="D72" s="239"/>
      <c r="E72" s="240"/>
      <c r="F72" s="241"/>
      <c r="G72" s="86"/>
      <c r="H72" s="86"/>
      <c r="I72" s="222"/>
      <c r="J72" s="222"/>
      <c r="K72" s="222"/>
      <c r="L72" s="222"/>
      <c r="M72" s="222"/>
      <c r="N72" s="222"/>
      <c r="O72" s="222"/>
      <c r="P72" s="222"/>
      <c r="Q72" s="222"/>
      <c r="R72" s="223"/>
      <c r="S72" s="223"/>
      <c r="T72" s="223"/>
      <c r="U72" s="223"/>
      <c r="V72" s="223"/>
      <c r="W72" s="223"/>
      <c r="X72" s="223"/>
    </row>
    <row r="73" ht="17.25" spans="3:24">
      <c r="C73" s="238" t="s">
        <v>124</v>
      </c>
      <c r="D73" s="239"/>
      <c r="E73" s="240"/>
      <c r="F73" s="241"/>
      <c r="G73" s="86"/>
      <c r="H73" s="86"/>
      <c r="I73" s="222"/>
      <c r="J73" s="222"/>
      <c r="K73" s="222"/>
      <c r="L73" s="222"/>
      <c r="M73" s="222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</row>
    <row r="74" ht="17.25" spans="3:24">
      <c r="C74" s="238" t="s">
        <v>125</v>
      </c>
      <c r="D74" s="239"/>
      <c r="E74" s="240"/>
      <c r="F74" s="241"/>
      <c r="G74" s="86"/>
      <c r="H74" s="86"/>
      <c r="I74" s="222"/>
      <c r="J74" s="222"/>
      <c r="K74" s="222"/>
      <c r="L74" s="222"/>
      <c r="M74" s="222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</row>
    <row r="75" ht="17.25" spans="3:24">
      <c r="C75" s="238" t="s">
        <v>126</v>
      </c>
      <c r="D75" s="239"/>
      <c r="E75" s="240"/>
      <c r="F75" s="241"/>
      <c r="G75" s="86"/>
      <c r="H75" s="86"/>
      <c r="I75" s="222"/>
      <c r="J75" s="222"/>
      <c r="K75" s="222"/>
      <c r="L75" s="222"/>
      <c r="M75" s="222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</row>
    <row r="76" ht="17.25" spans="3:24">
      <c r="C76" s="238" t="s">
        <v>127</v>
      </c>
      <c r="D76" s="239"/>
      <c r="E76" s="240"/>
      <c r="F76" s="241"/>
      <c r="G76" s="86"/>
      <c r="H76" s="86"/>
      <c r="I76" s="222"/>
      <c r="J76" s="222"/>
      <c r="K76" s="222"/>
      <c r="L76" s="222"/>
      <c r="M76" s="222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</row>
    <row r="77" ht="17.25" spans="3:24">
      <c r="C77" s="238" t="s">
        <v>128</v>
      </c>
      <c r="D77" s="239"/>
      <c r="E77" s="240"/>
      <c r="F77" s="241"/>
      <c r="G77" s="86"/>
      <c r="H77" s="86"/>
      <c r="I77" s="222"/>
      <c r="J77" s="222"/>
      <c r="K77" s="222"/>
      <c r="L77" s="222"/>
      <c r="M77" s="222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</row>
    <row r="78" ht="17.25" spans="3:24">
      <c r="C78" s="238" t="s">
        <v>129</v>
      </c>
      <c r="D78" s="239"/>
      <c r="E78" s="240"/>
      <c r="F78" s="241"/>
      <c r="G78" s="86"/>
      <c r="H78" s="86"/>
      <c r="I78" s="222"/>
      <c r="J78" s="222"/>
      <c r="K78" s="222"/>
      <c r="L78" s="222"/>
      <c r="M78" s="222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</row>
    <row r="79" ht="17.25" spans="3:24">
      <c r="C79" s="238" t="s">
        <v>130</v>
      </c>
      <c r="D79" s="239"/>
      <c r="E79" s="240"/>
      <c r="F79" s="241"/>
      <c r="G79" s="86"/>
      <c r="H79" s="86"/>
      <c r="I79" s="222"/>
      <c r="J79" s="222"/>
      <c r="K79" s="222"/>
      <c r="L79" s="222"/>
      <c r="M79" s="222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</row>
    <row r="80" ht="17.25" spans="3:24">
      <c r="C80" s="238" t="s">
        <v>131</v>
      </c>
      <c r="D80" s="239"/>
      <c r="E80" s="240"/>
      <c r="F80" s="241"/>
      <c r="G80" s="86"/>
      <c r="H80" s="86"/>
      <c r="I80" s="222"/>
      <c r="J80" s="222"/>
      <c r="K80" s="222"/>
      <c r="L80" s="222"/>
      <c r="M80" s="222"/>
      <c r="N80" s="222"/>
      <c r="O80" s="222"/>
      <c r="P80" s="222"/>
      <c r="Q80" s="222"/>
      <c r="R80" s="223"/>
      <c r="S80" s="223"/>
      <c r="T80" s="223"/>
      <c r="U80" s="223"/>
      <c r="V80" s="223"/>
      <c r="W80" s="223"/>
      <c r="X80" s="223"/>
    </row>
    <row r="81" ht="17.25" spans="3:24">
      <c r="C81" s="238" t="s">
        <v>132</v>
      </c>
      <c r="D81" s="239"/>
      <c r="E81" s="240"/>
      <c r="F81" s="241"/>
      <c r="G81" s="86"/>
      <c r="H81" s="86"/>
      <c r="I81" s="222"/>
      <c r="J81" s="222"/>
      <c r="K81" s="222"/>
      <c r="L81" s="222"/>
      <c r="M81" s="222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</row>
    <row r="82" ht="17.25" spans="3:24">
      <c r="C82" s="238" t="s">
        <v>133</v>
      </c>
      <c r="D82" s="239"/>
      <c r="E82" s="240"/>
      <c r="F82" s="241"/>
      <c r="G82" s="86"/>
      <c r="H82" s="86"/>
      <c r="I82" s="222"/>
      <c r="J82" s="222"/>
      <c r="K82" s="222"/>
      <c r="L82" s="222"/>
      <c r="M82" s="222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</row>
    <row r="83" ht="17.25" spans="3:24">
      <c r="C83" s="238" t="s">
        <v>134</v>
      </c>
      <c r="D83" s="239"/>
      <c r="E83" s="240"/>
      <c r="F83" s="241"/>
      <c r="G83" s="86"/>
      <c r="H83" s="86"/>
      <c r="I83" s="222"/>
      <c r="J83" s="222"/>
      <c r="K83" s="222"/>
      <c r="L83" s="222"/>
      <c r="M83" s="222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</row>
    <row r="84" ht="17.25" spans="3:24">
      <c r="C84" s="238" t="s">
        <v>135</v>
      </c>
      <c r="D84" s="239"/>
      <c r="E84" s="240"/>
      <c r="F84" s="241"/>
      <c r="G84" s="86"/>
      <c r="H84" s="86"/>
      <c r="I84" s="222"/>
      <c r="J84" s="222"/>
      <c r="K84" s="222"/>
      <c r="L84" s="222"/>
      <c r="M84" s="222"/>
      <c r="N84" s="222"/>
      <c r="O84" s="222"/>
      <c r="P84" s="222"/>
      <c r="Q84" s="222"/>
      <c r="R84" s="223"/>
      <c r="S84" s="223"/>
      <c r="T84" s="223"/>
      <c r="U84" s="223"/>
      <c r="V84" s="223"/>
      <c r="W84" s="223"/>
      <c r="X84" s="223"/>
    </row>
    <row r="85" ht="17.25" spans="3:24">
      <c r="C85" s="238" t="s">
        <v>136</v>
      </c>
      <c r="D85" s="239"/>
      <c r="E85" s="240"/>
      <c r="F85" s="241"/>
      <c r="G85" s="86"/>
      <c r="H85" s="86"/>
      <c r="I85" s="222"/>
      <c r="J85" s="222"/>
      <c r="K85" s="222"/>
      <c r="L85" s="222"/>
      <c r="M85" s="222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</row>
    <row r="86" ht="17.25" spans="3:24">
      <c r="C86" s="238" t="s">
        <v>137</v>
      </c>
      <c r="D86" s="239"/>
      <c r="E86" s="240"/>
      <c r="F86" s="241"/>
      <c r="G86" s="86"/>
      <c r="H86" s="86"/>
      <c r="I86" s="222"/>
      <c r="J86" s="222"/>
      <c r="K86" s="222"/>
      <c r="L86" s="222"/>
      <c r="M86" s="222"/>
      <c r="N86" s="222"/>
      <c r="O86" s="222"/>
      <c r="P86" s="222"/>
      <c r="Q86" s="222"/>
      <c r="R86" s="223"/>
      <c r="S86" s="223"/>
      <c r="T86" s="223"/>
      <c r="U86" s="223"/>
      <c r="V86" s="223"/>
      <c r="W86" s="223"/>
      <c r="X86" s="223"/>
    </row>
    <row r="87" ht="17.25" spans="3:24">
      <c r="C87" s="238" t="s">
        <v>138</v>
      </c>
      <c r="D87" s="239"/>
      <c r="E87" s="240"/>
      <c r="F87" s="241"/>
      <c r="G87" s="86"/>
      <c r="H87" s="86"/>
      <c r="I87" s="222"/>
      <c r="J87" s="222"/>
      <c r="K87" s="222"/>
      <c r="L87" s="222"/>
      <c r="M87" s="222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</row>
    <row r="88" ht="17.25" spans="3:24">
      <c r="C88" s="238" t="s">
        <v>139</v>
      </c>
      <c r="D88" s="239"/>
      <c r="E88" s="240"/>
      <c r="F88" s="241"/>
      <c r="G88" s="86"/>
      <c r="H88" s="86"/>
      <c r="I88" s="222"/>
      <c r="J88" s="222"/>
      <c r="K88" s="222"/>
      <c r="L88" s="222"/>
      <c r="M88" s="222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</row>
    <row r="89" ht="17.25" spans="3:24">
      <c r="C89" s="238" t="s">
        <v>140</v>
      </c>
      <c r="D89" s="239"/>
      <c r="E89" s="240"/>
      <c r="F89" s="241"/>
      <c r="G89" s="86"/>
      <c r="H89" s="86"/>
      <c r="I89" s="222"/>
      <c r="J89" s="222"/>
      <c r="K89" s="222"/>
      <c r="L89" s="222"/>
      <c r="M89" s="222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</row>
    <row r="90" ht="17.25" spans="3:24">
      <c r="C90" s="238"/>
      <c r="D90" s="239"/>
      <c r="E90" s="240"/>
      <c r="F90" s="241"/>
      <c r="G90" s="86"/>
      <c r="H90" s="86"/>
      <c r="I90" s="222"/>
      <c r="J90" s="222"/>
      <c r="K90" s="222"/>
      <c r="L90" s="222"/>
      <c r="M90" s="222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</row>
    <row r="91" ht="17.25" spans="3:24">
      <c r="C91" s="238"/>
      <c r="D91" s="239"/>
      <c r="E91" s="240"/>
      <c r="F91" s="241"/>
      <c r="G91" s="86"/>
      <c r="H91" s="86"/>
      <c r="I91" s="222"/>
      <c r="J91" s="222"/>
      <c r="K91" s="222"/>
      <c r="L91" s="222"/>
      <c r="M91" s="222"/>
      <c r="N91" s="222"/>
      <c r="O91" s="222"/>
      <c r="P91" s="222"/>
      <c r="Q91" s="222"/>
      <c r="R91" s="223"/>
      <c r="S91" s="223"/>
      <c r="T91" s="223"/>
      <c r="U91" s="223"/>
      <c r="V91" s="223"/>
      <c r="W91" s="223"/>
      <c r="X91" s="223"/>
    </row>
    <row r="92" ht="17.25" spans="3:24">
      <c r="C92" s="238"/>
      <c r="D92" s="239"/>
      <c r="E92" s="240"/>
      <c r="F92" s="241"/>
      <c r="G92" s="86"/>
      <c r="H92" s="86"/>
      <c r="I92" s="222"/>
      <c r="J92" s="222"/>
      <c r="K92" s="222"/>
      <c r="L92" s="222"/>
      <c r="M92" s="222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</row>
    <row r="94" ht="16.5" spans="3:24">
      <c r="C94" s="242" t="s">
        <v>141</v>
      </c>
      <c r="D94" s="242"/>
      <c r="E94" s="242"/>
      <c r="F94" s="242"/>
      <c r="G94" s="242"/>
      <c r="H94" s="242"/>
      <c r="I94" s="242"/>
      <c r="J94" s="242"/>
      <c r="K94" s="242"/>
      <c r="L94" s="248"/>
      <c r="M94" s="248"/>
      <c r="N94" s="248"/>
      <c r="P94" s="218"/>
      <c r="Q94" s="218"/>
      <c r="R94" s="29"/>
      <c r="S94" s="29"/>
      <c r="T94" s="21"/>
      <c r="U94" s="21"/>
      <c r="V94" s="21"/>
      <c r="W94" s="21"/>
      <c r="X94" s="21"/>
    </row>
    <row r="95" ht="16.5" spans="3:24"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P95" s="218"/>
      <c r="Q95" s="218"/>
      <c r="R95" s="29"/>
      <c r="S95" s="29"/>
      <c r="T95" s="21"/>
      <c r="U95" s="21"/>
      <c r="V95" s="21"/>
      <c r="W95" s="21"/>
      <c r="X95" s="21"/>
    </row>
    <row r="96" ht="16.5" spans="3:24"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P96" s="223"/>
      <c r="Q96" s="223"/>
      <c r="R96" s="223"/>
      <c r="S96" s="223"/>
      <c r="T96" s="223"/>
      <c r="U96" s="223"/>
      <c r="V96" s="223"/>
      <c r="W96" s="223"/>
      <c r="X96" s="223"/>
    </row>
    <row r="97" ht="16.5" spans="3:24"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P97" s="223"/>
      <c r="Q97" s="223"/>
      <c r="R97" s="223"/>
      <c r="S97" s="223"/>
      <c r="T97" s="223"/>
      <c r="U97" s="223"/>
      <c r="V97" s="223"/>
      <c r="W97" s="223"/>
      <c r="X97" s="223"/>
    </row>
    <row r="98" ht="16.5" spans="3:24"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P98" s="218"/>
      <c r="Q98" s="218"/>
      <c r="R98" s="29"/>
      <c r="S98" s="29"/>
      <c r="T98" s="21"/>
      <c r="U98" s="21"/>
      <c r="V98" s="21"/>
      <c r="W98" s="21"/>
      <c r="X98" s="21"/>
    </row>
    <row r="99" ht="16.5" spans="3:24"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P99" s="218"/>
      <c r="Q99" s="218"/>
      <c r="R99" s="29"/>
      <c r="S99" s="29"/>
      <c r="T99" s="21"/>
      <c r="U99" s="21"/>
      <c r="V99" s="21"/>
      <c r="W99" s="21"/>
      <c r="X99" s="21"/>
    </row>
    <row r="100" ht="16.5" spans="3:24">
      <c r="C100" s="242" t="s">
        <v>142</v>
      </c>
      <c r="D100" s="242"/>
      <c r="E100" s="242"/>
      <c r="F100" s="242"/>
      <c r="G100" s="242"/>
      <c r="H100" s="242"/>
      <c r="I100" s="242"/>
      <c r="J100" s="242"/>
      <c r="K100" s="242"/>
      <c r="L100" s="242"/>
      <c r="M100" s="242"/>
      <c r="N100" s="242"/>
      <c r="P100" s="218"/>
      <c r="Q100" s="218"/>
      <c r="R100" s="29"/>
      <c r="S100" s="29"/>
      <c r="T100" s="21"/>
      <c r="U100" s="21"/>
      <c r="V100" s="21"/>
      <c r="W100" s="21"/>
      <c r="X100" s="21"/>
    </row>
    <row r="101" ht="16.5" spans="3:24">
      <c r="C101" s="243" t="s">
        <v>143</v>
      </c>
      <c r="D101" s="243"/>
      <c r="E101" s="243"/>
      <c r="F101" s="243"/>
      <c r="G101" s="243"/>
      <c r="H101" s="243"/>
      <c r="I101" s="243"/>
      <c r="J101" s="243"/>
      <c r="K101" s="243"/>
      <c r="L101" s="243"/>
      <c r="M101" s="243"/>
      <c r="N101" s="243"/>
      <c r="P101" s="218"/>
      <c r="Q101" s="218"/>
      <c r="R101" s="29"/>
      <c r="S101" s="29"/>
      <c r="T101" s="21"/>
      <c r="U101" s="21"/>
      <c r="V101" s="21"/>
      <c r="W101" s="21"/>
      <c r="X101" s="21"/>
    </row>
    <row r="102" ht="16.5" spans="3:24">
      <c r="C102" s="243" t="s">
        <v>144</v>
      </c>
      <c r="D102" s="243"/>
      <c r="E102" s="243"/>
      <c r="F102" s="243"/>
      <c r="G102" s="243"/>
      <c r="H102" s="243"/>
      <c r="I102" s="243"/>
      <c r="J102" s="243"/>
      <c r="K102" s="243"/>
      <c r="L102" s="243"/>
      <c r="M102" s="243"/>
      <c r="N102" s="243"/>
      <c r="P102" s="218"/>
      <c r="Q102" s="218"/>
      <c r="R102" s="29"/>
      <c r="S102" s="29"/>
      <c r="T102" s="21"/>
      <c r="U102" s="21"/>
      <c r="V102" s="21"/>
      <c r="W102" s="21"/>
      <c r="X102" s="21"/>
    </row>
    <row r="103" ht="16.5" spans="3:24">
      <c r="C103" s="243" t="s">
        <v>145</v>
      </c>
      <c r="D103" s="243"/>
      <c r="E103" s="243"/>
      <c r="F103" s="243"/>
      <c r="G103" s="243"/>
      <c r="H103" s="243"/>
      <c r="I103" s="243"/>
      <c r="J103" s="243"/>
      <c r="K103" s="243"/>
      <c r="L103" s="243"/>
      <c r="M103" s="243"/>
      <c r="N103" s="243"/>
      <c r="P103" s="218"/>
      <c r="Q103" s="218"/>
      <c r="R103" s="29"/>
      <c r="S103" s="29"/>
      <c r="T103" s="21"/>
      <c r="U103" s="21"/>
      <c r="V103" s="21"/>
      <c r="W103" s="21"/>
      <c r="X103" s="21"/>
    </row>
    <row r="104" ht="16.5" spans="3:24">
      <c r="C104" s="243" t="s">
        <v>146</v>
      </c>
      <c r="D104" s="243"/>
      <c r="E104" s="243"/>
      <c r="F104" s="243"/>
      <c r="G104" s="243"/>
      <c r="H104" s="243"/>
      <c r="I104" s="243"/>
      <c r="J104" s="243"/>
      <c r="K104" s="243"/>
      <c r="L104" s="243"/>
      <c r="M104" s="243"/>
      <c r="N104" s="243"/>
      <c r="P104" s="218"/>
      <c r="Q104" s="218"/>
      <c r="R104" s="29"/>
      <c r="S104" s="29"/>
      <c r="T104" s="21"/>
      <c r="U104" s="21"/>
      <c r="V104" s="21"/>
      <c r="W104" s="21"/>
      <c r="X104" s="21"/>
    </row>
    <row r="105" ht="16.5" spans="3:24">
      <c r="C105" s="244" t="s">
        <v>147</v>
      </c>
      <c r="D105" s="244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P105" s="218"/>
      <c r="Q105" s="218"/>
      <c r="R105" s="29"/>
      <c r="S105" s="29"/>
      <c r="T105" s="21"/>
      <c r="U105" s="21"/>
      <c r="V105" s="21"/>
      <c r="W105" s="21"/>
      <c r="X105" s="21"/>
    </row>
    <row r="106" ht="16.5" spans="3:24">
      <c r="C106" s="244" t="s">
        <v>148</v>
      </c>
      <c r="D106" s="244"/>
      <c r="E106" s="244"/>
      <c r="F106" s="244"/>
      <c r="G106" s="244"/>
      <c r="H106" s="244"/>
      <c r="I106" s="244"/>
      <c r="J106" s="244"/>
      <c r="K106" s="244"/>
      <c r="L106" s="244"/>
      <c r="M106" s="244"/>
      <c r="N106" s="244"/>
      <c r="P106" s="218"/>
      <c r="Q106" s="218"/>
      <c r="R106" s="29"/>
      <c r="S106" s="29"/>
      <c r="T106" s="21"/>
      <c r="U106" s="21"/>
      <c r="V106" s="21"/>
      <c r="W106" s="21"/>
      <c r="X106" s="21"/>
    </row>
    <row r="107" ht="16.5" spans="3:24">
      <c r="C107" s="244"/>
      <c r="D107" s="244"/>
      <c r="E107" s="244"/>
      <c r="F107" s="244"/>
      <c r="G107" s="244"/>
      <c r="H107" s="244"/>
      <c r="I107" s="244"/>
      <c r="J107" s="244"/>
      <c r="K107" s="244"/>
      <c r="L107" s="244"/>
      <c r="M107" s="244"/>
      <c r="N107" s="244"/>
      <c r="P107" s="218"/>
      <c r="Q107" s="218"/>
      <c r="R107" s="29"/>
      <c r="S107" s="29"/>
      <c r="T107" s="21"/>
      <c r="U107" s="21"/>
      <c r="V107" s="21"/>
      <c r="W107" s="21"/>
      <c r="X107" s="21"/>
    </row>
    <row r="108" ht="16.5" spans="3:24">
      <c r="C108" s="244"/>
      <c r="D108" s="244"/>
      <c r="E108" s="244"/>
      <c r="F108" s="244"/>
      <c r="G108" s="244"/>
      <c r="H108" s="244"/>
      <c r="I108" s="244"/>
      <c r="J108" s="244"/>
      <c r="K108" s="244"/>
      <c r="L108" s="244"/>
      <c r="M108" s="244"/>
      <c r="N108" s="244"/>
      <c r="P108" s="218"/>
      <c r="Q108" s="218"/>
      <c r="R108" s="29"/>
      <c r="S108" s="29"/>
      <c r="T108" s="21"/>
      <c r="U108" s="21"/>
      <c r="V108" s="21"/>
      <c r="W108" s="21"/>
      <c r="X108" s="21"/>
    </row>
    <row r="109" ht="16.5" spans="3:24"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P109" s="218"/>
      <c r="Q109" s="218"/>
      <c r="R109" s="29"/>
      <c r="S109" s="29"/>
      <c r="T109" s="21"/>
      <c r="U109" s="21"/>
      <c r="V109" s="21"/>
      <c r="W109" s="21"/>
      <c r="X109" s="21"/>
    </row>
    <row r="110" ht="16.5" spans="3:24">
      <c r="C110" s="242" t="s">
        <v>149</v>
      </c>
      <c r="D110" s="242"/>
      <c r="E110" s="242"/>
      <c r="F110" s="242"/>
      <c r="G110" s="242"/>
      <c r="H110" s="242"/>
      <c r="I110" s="242"/>
      <c r="J110" s="242"/>
      <c r="K110" s="242"/>
      <c r="L110" s="242"/>
      <c r="M110" s="242"/>
      <c r="N110" s="242"/>
      <c r="P110" s="218"/>
      <c r="Q110" s="218"/>
      <c r="R110" s="29"/>
      <c r="S110" s="29"/>
      <c r="T110" s="21"/>
      <c r="U110" s="21"/>
      <c r="V110" s="21"/>
      <c r="W110" s="21"/>
      <c r="X110" s="21"/>
    </row>
    <row r="111" ht="16.5" spans="3:24">
      <c r="C111" s="245" t="s">
        <v>150</v>
      </c>
      <c r="D111" s="246" t="s">
        <v>151</v>
      </c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P111" s="218"/>
      <c r="Q111" s="218"/>
      <c r="R111" s="29"/>
      <c r="S111" s="29"/>
      <c r="T111" s="21"/>
      <c r="U111" s="21"/>
      <c r="V111" s="21"/>
      <c r="W111" s="21"/>
      <c r="X111" s="21"/>
    </row>
    <row r="112" ht="16.5" spans="3:24">
      <c r="C112" s="245" t="s">
        <v>152</v>
      </c>
      <c r="D112" s="247" t="s">
        <v>153</v>
      </c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P112" s="218"/>
      <c r="Q112" s="218"/>
      <c r="R112" s="29"/>
      <c r="S112" s="29"/>
      <c r="T112" s="21"/>
      <c r="U112" s="21"/>
      <c r="V112" s="21"/>
      <c r="W112" s="21"/>
      <c r="X112" s="21"/>
    </row>
    <row r="113" ht="16.5" spans="3:24">
      <c r="C113" s="245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P113" s="223"/>
      <c r="Q113" s="223"/>
      <c r="R113" s="223"/>
      <c r="S113" s="223"/>
      <c r="T113" s="223"/>
      <c r="U113" s="223"/>
      <c r="V113" s="223"/>
      <c r="W113" s="223"/>
      <c r="X113" s="223"/>
    </row>
    <row r="114" ht="16.5" spans="3:24">
      <c r="C114" s="245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P114" s="223"/>
      <c r="Q114" s="223"/>
      <c r="R114" s="223"/>
      <c r="S114" s="223"/>
      <c r="T114" s="223"/>
      <c r="U114" s="223"/>
      <c r="V114" s="223"/>
      <c r="W114" s="223"/>
      <c r="X114" s="223"/>
    </row>
    <row r="115" ht="16.5" spans="3:24">
      <c r="C115" s="245" t="s">
        <v>154</v>
      </c>
      <c r="D115" s="246" t="s">
        <v>155</v>
      </c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P115" s="21"/>
      <c r="Q115" s="21"/>
      <c r="R115" s="21"/>
      <c r="S115" s="21"/>
      <c r="T115" s="21"/>
      <c r="U115" s="21"/>
      <c r="V115" s="21"/>
      <c r="W115" s="21"/>
      <c r="X115" s="21"/>
    </row>
    <row r="116" ht="16.5" spans="3:14">
      <c r="C116" s="245" t="s">
        <v>156</v>
      </c>
      <c r="D116" s="246" t="s">
        <v>157</v>
      </c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</row>
    <row r="117" ht="16.5" spans="3:14">
      <c r="C117" s="245" t="s">
        <v>158</v>
      </c>
      <c r="D117" s="246" t="s">
        <v>159</v>
      </c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</row>
    <row r="118" ht="16.5" spans="3:14">
      <c r="C118" s="245" t="s">
        <v>160</v>
      </c>
      <c r="D118" s="246" t="s">
        <v>161</v>
      </c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</row>
    <row r="119" spans="3:14">
      <c r="C119" s="245" t="s">
        <v>162</v>
      </c>
      <c r="D119" s="247" t="s">
        <v>163</v>
      </c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</row>
    <row r="120" spans="3:14">
      <c r="C120" s="245"/>
      <c r="D120" s="247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</row>
    <row r="121" spans="3:14">
      <c r="C121" s="245"/>
      <c r="D121" s="247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</row>
    <row r="122" spans="3:14">
      <c r="C122" s="245" t="s">
        <v>164</v>
      </c>
      <c r="D122" s="247" t="s">
        <v>165</v>
      </c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</row>
    <row r="123" spans="3:14">
      <c r="C123" s="245"/>
      <c r="D123" s="247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</row>
    <row r="124" spans="3:14">
      <c r="C124" s="245"/>
      <c r="D124" s="247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</row>
    <row r="125" ht="16.5" spans="3:14">
      <c r="C125" s="245" t="s">
        <v>166</v>
      </c>
      <c r="D125" s="247" t="s">
        <v>167</v>
      </c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</row>
    <row r="126" ht="16.5" spans="3:14">
      <c r="C126" s="245" t="s">
        <v>168</v>
      </c>
      <c r="D126" s="247" t="s">
        <v>169</v>
      </c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</row>
    <row r="127" ht="16.5" spans="3:14">
      <c r="C127" s="245" t="s">
        <v>170</v>
      </c>
      <c r="D127" s="247" t="s">
        <v>171</v>
      </c>
      <c r="E127" s="247"/>
      <c r="F127" s="247"/>
      <c r="G127" s="247"/>
      <c r="H127" s="247"/>
      <c r="I127" s="247"/>
      <c r="J127" s="247"/>
      <c r="K127" s="247"/>
      <c r="L127" s="247"/>
      <c r="M127" s="247"/>
      <c r="N127" s="247"/>
    </row>
    <row r="128" ht="16.5" spans="3:14">
      <c r="C128" s="245" t="s">
        <v>172</v>
      </c>
      <c r="D128" s="247" t="s">
        <v>173</v>
      </c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</row>
    <row r="129" ht="16.5" spans="3:14">
      <c r="C129" s="245" t="s">
        <v>174</v>
      </c>
      <c r="D129" s="247" t="s">
        <v>175</v>
      </c>
      <c r="E129" s="247"/>
      <c r="F129" s="247"/>
      <c r="G129" s="247"/>
      <c r="H129" s="247"/>
      <c r="I129" s="247"/>
      <c r="J129" s="247"/>
      <c r="K129" s="247"/>
      <c r="L129" s="247"/>
      <c r="M129" s="247"/>
      <c r="N129" s="247"/>
    </row>
    <row r="130" ht="40" customHeight="1" spans="3:14">
      <c r="C130" s="245" t="s">
        <v>176</v>
      </c>
      <c r="D130" s="247" t="s">
        <v>177</v>
      </c>
      <c r="E130" s="247"/>
      <c r="F130" s="247"/>
      <c r="G130" s="247"/>
      <c r="H130" s="247"/>
      <c r="I130" s="247"/>
      <c r="J130" s="247"/>
      <c r="K130" s="247"/>
      <c r="L130" s="247"/>
      <c r="M130" s="247"/>
      <c r="N130" s="247"/>
    </row>
    <row r="131" ht="16.5" spans="3:14">
      <c r="C131" s="245" t="s">
        <v>178</v>
      </c>
      <c r="D131" s="247" t="s">
        <v>179</v>
      </c>
      <c r="E131" s="247"/>
      <c r="F131" s="247"/>
      <c r="G131" s="247"/>
      <c r="H131" s="247"/>
      <c r="I131" s="247"/>
      <c r="J131" s="247"/>
      <c r="K131" s="247"/>
      <c r="L131" s="247"/>
      <c r="M131" s="247"/>
      <c r="N131" s="247"/>
    </row>
    <row r="132" ht="16.5" spans="3:14">
      <c r="C132" s="245" t="s">
        <v>180</v>
      </c>
      <c r="D132" s="247" t="s">
        <v>181</v>
      </c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</row>
    <row r="133" ht="39" customHeight="1" spans="3:18">
      <c r="C133" s="245" t="s">
        <v>182</v>
      </c>
      <c r="D133" s="247" t="s">
        <v>183</v>
      </c>
      <c r="E133" s="247"/>
      <c r="F133" s="247"/>
      <c r="G133" s="247"/>
      <c r="H133" s="247"/>
      <c r="I133" s="247"/>
      <c r="J133" s="247"/>
      <c r="K133" s="247"/>
      <c r="L133" s="247"/>
      <c r="M133" s="247"/>
      <c r="N133" s="247"/>
      <c r="R133" t="s">
        <v>184</v>
      </c>
    </row>
    <row r="134" ht="66" customHeight="1" spans="3:14">
      <c r="C134" s="245" t="s">
        <v>185</v>
      </c>
      <c r="D134" s="247" t="s">
        <v>186</v>
      </c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</row>
    <row r="135" ht="16.5" spans="3:14">
      <c r="C135" s="245" t="s">
        <v>187</v>
      </c>
      <c r="D135" s="247" t="s">
        <v>188</v>
      </c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</row>
    <row r="136" ht="16.5" spans="3:14">
      <c r="C136" s="245" t="s">
        <v>189</v>
      </c>
      <c r="D136" s="247" t="s">
        <v>190</v>
      </c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</row>
    <row r="137" ht="49" customHeight="1" spans="3:14">
      <c r="C137" s="245" t="s">
        <v>191</v>
      </c>
      <c r="D137" s="247" t="s">
        <v>192</v>
      </c>
      <c r="E137" s="247"/>
      <c r="F137" s="247"/>
      <c r="G137" s="247"/>
      <c r="H137" s="247"/>
      <c r="I137" s="247"/>
      <c r="J137" s="247"/>
      <c r="K137" s="247"/>
      <c r="L137" s="247"/>
      <c r="M137" s="247"/>
      <c r="N137" s="247"/>
    </row>
    <row r="138" ht="84" customHeight="1" spans="3:14">
      <c r="C138" s="245" t="s">
        <v>193</v>
      </c>
      <c r="D138" s="247" t="s">
        <v>194</v>
      </c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</row>
    <row r="139" ht="16.5" spans="3:14">
      <c r="C139" s="245" t="s">
        <v>195</v>
      </c>
      <c r="D139" s="247" t="s">
        <v>196</v>
      </c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</row>
    <row r="140" ht="16.5" spans="3:14">
      <c r="C140" s="245" t="s">
        <v>197</v>
      </c>
      <c r="D140" s="247" t="s">
        <v>198</v>
      </c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</row>
    <row r="141" ht="39" customHeight="1" spans="3:14">
      <c r="C141" s="245" t="s">
        <v>199</v>
      </c>
      <c r="D141" s="247" t="s">
        <v>200</v>
      </c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</row>
    <row r="142" ht="39" customHeight="1" spans="3:14">
      <c r="C142" s="245" t="s">
        <v>201</v>
      </c>
      <c r="D142" s="247" t="s">
        <v>202</v>
      </c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</row>
    <row r="143" ht="48" customHeight="1" spans="3:14">
      <c r="C143" s="245" t="s">
        <v>203</v>
      </c>
      <c r="D143" s="247" t="s">
        <v>204</v>
      </c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</row>
    <row r="144" ht="16.5" spans="3:14">
      <c r="C144" s="245" t="s">
        <v>205</v>
      </c>
      <c r="D144" s="247" t="s">
        <v>206</v>
      </c>
      <c r="E144" s="247"/>
      <c r="F144" s="247"/>
      <c r="G144" s="247"/>
      <c r="H144" s="247"/>
      <c r="I144" s="247"/>
      <c r="J144" s="247"/>
      <c r="K144" s="247"/>
      <c r="L144" s="247"/>
      <c r="M144" s="247"/>
      <c r="N144" s="247"/>
    </row>
    <row r="145" ht="39" customHeight="1" spans="3:14">
      <c r="C145" s="245" t="s">
        <v>207</v>
      </c>
      <c r="D145" s="247" t="s">
        <v>208</v>
      </c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</row>
    <row r="146" ht="48" customHeight="1" spans="3:14">
      <c r="C146" s="245" t="s">
        <v>209</v>
      </c>
      <c r="D146" s="247" t="s">
        <v>210</v>
      </c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</row>
    <row r="147" ht="16.5" spans="3:14">
      <c r="C147" s="245" t="s">
        <v>211</v>
      </c>
      <c r="D147" s="247" t="s">
        <v>212</v>
      </c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</row>
    <row r="148" ht="81" customHeight="1" spans="3:14">
      <c r="C148" s="245" t="s">
        <v>213</v>
      </c>
      <c r="D148" s="247" t="s">
        <v>214</v>
      </c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</row>
    <row r="149" ht="75" customHeight="1" spans="3:14">
      <c r="C149" s="245" t="s">
        <v>215</v>
      </c>
      <c r="D149" s="247" t="s">
        <v>216</v>
      </c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</row>
  </sheetData>
  <mergeCells count="91">
    <mergeCell ref="C2:S2"/>
    <mergeCell ref="C4:F4"/>
    <mergeCell ref="E5:F5"/>
    <mergeCell ref="C6:F6"/>
    <mergeCell ref="H6:J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C22:F22"/>
    <mergeCell ref="E23:F23"/>
    <mergeCell ref="E34:F34"/>
    <mergeCell ref="E35:F35"/>
    <mergeCell ref="E36:F36"/>
    <mergeCell ref="E37:F37"/>
    <mergeCell ref="E42:F42"/>
    <mergeCell ref="E43:F43"/>
    <mergeCell ref="E46:F46"/>
    <mergeCell ref="E47:F47"/>
    <mergeCell ref="E48:F48"/>
    <mergeCell ref="E49:F49"/>
    <mergeCell ref="E50:F50"/>
    <mergeCell ref="B51:G51"/>
    <mergeCell ref="I53:J53"/>
    <mergeCell ref="M53:O53"/>
    <mergeCell ref="P53:Q53"/>
    <mergeCell ref="C94:K94"/>
    <mergeCell ref="C100:N100"/>
    <mergeCell ref="C101:N101"/>
    <mergeCell ref="C102:N102"/>
    <mergeCell ref="C103:N103"/>
    <mergeCell ref="C104:N104"/>
    <mergeCell ref="C105:N105"/>
    <mergeCell ref="C110:N110"/>
    <mergeCell ref="D111:N111"/>
    <mergeCell ref="D115:N115"/>
    <mergeCell ref="D116:N116"/>
    <mergeCell ref="D117:N117"/>
    <mergeCell ref="D118:N118"/>
    <mergeCell ref="D125:N125"/>
    <mergeCell ref="D126:N126"/>
    <mergeCell ref="D127:N127"/>
    <mergeCell ref="D128:N128"/>
    <mergeCell ref="D129:N129"/>
    <mergeCell ref="D130:N130"/>
    <mergeCell ref="D131:N131"/>
    <mergeCell ref="D132:N132"/>
    <mergeCell ref="D133:N133"/>
    <mergeCell ref="D134:N134"/>
    <mergeCell ref="D135:N135"/>
    <mergeCell ref="D136:N136"/>
    <mergeCell ref="D137:N137"/>
    <mergeCell ref="D138:N138"/>
    <mergeCell ref="D139:N139"/>
    <mergeCell ref="D140:N140"/>
    <mergeCell ref="D141:N141"/>
    <mergeCell ref="D142:N142"/>
    <mergeCell ref="D143:N143"/>
    <mergeCell ref="D144:N144"/>
    <mergeCell ref="D145:N145"/>
    <mergeCell ref="D146:N146"/>
    <mergeCell ref="D147:N147"/>
    <mergeCell ref="D148:N148"/>
    <mergeCell ref="D149:N149"/>
    <mergeCell ref="C89:C92"/>
    <mergeCell ref="C112:C114"/>
    <mergeCell ref="C119:C121"/>
    <mergeCell ref="C122:C124"/>
    <mergeCell ref="J8:J14"/>
    <mergeCell ref="E24:F31"/>
    <mergeCell ref="C32:F33"/>
    <mergeCell ref="C38:F39"/>
    <mergeCell ref="B40:G41"/>
    <mergeCell ref="C44:F45"/>
    <mergeCell ref="E52:F68"/>
    <mergeCell ref="E69:F92"/>
    <mergeCell ref="C106:N108"/>
    <mergeCell ref="D112:N114"/>
    <mergeCell ref="D119:N121"/>
    <mergeCell ref="D122:N124"/>
  </mergeCells>
  <conditionalFormatting sqref="N25:N40 N5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{7a0eb2db-b1f5-4596-a5ad-f846291e1503}</x14:id>
        </ext>
      </extLst>
    </cfRule>
  </conditionalFormatting>
  <dataValidations count="52">
    <dataValidation type="list" allowBlank="1" showInputMessage="1" showErrorMessage="1" sqref="D5">
      <formula1>额外增益统计!$B$120:$B$121</formula1>
    </dataValidation>
    <dataValidation type="list" allowBlank="1" showInputMessage="1" showErrorMessage="1" sqref="D8:E8">
      <formula1>装备源表!$E$113:$E$132</formula1>
    </dataValidation>
    <dataValidation type="list" allowBlank="1" showInputMessage="1" showErrorMessage="1" sqref="F8">
      <formula1>装备源表!$E$272:$E$276</formula1>
    </dataValidation>
    <dataValidation type="list" allowBlank="1" showInputMessage="1" showErrorMessage="1" sqref="D9:E9">
      <formula1>装备源表!$E$133:$E$144</formula1>
    </dataValidation>
    <dataValidation type="list" allowBlank="1" showInputMessage="1" showErrorMessage="1" sqref="F9">
      <formula1>装备源表!$E$277:$E$279</formula1>
    </dataValidation>
    <dataValidation type="list" allowBlank="1" showInputMessage="1" showErrorMessage="1" sqref="D10:E10">
      <formula1>装备源表!$E$179:$E$219</formula1>
    </dataValidation>
    <dataValidation type="list" allowBlank="1" showInputMessage="1" showErrorMessage="1" sqref="F10">
      <formula1>装备源表!$E$280:$E$282</formula1>
    </dataValidation>
    <dataValidation type="list" allowBlank="1" showInputMessage="1" showErrorMessage="1" sqref="D11:E11">
      <formula1>装备源表!$E$19:$E$48</formula1>
    </dataValidation>
    <dataValidation type="list" allowBlank="1" showInputMessage="1" showErrorMessage="1" sqref="F11">
      <formula1>装备源表!$E$283:$E$291</formula1>
    </dataValidation>
    <dataValidation type="list" allowBlank="1" showInputMessage="1" showErrorMessage="1" sqref="D12:E12">
      <formula1>装备源表!$E$85:$E$112</formula1>
    </dataValidation>
    <dataValidation type="list" allowBlank="1" showInputMessage="1" showErrorMessage="1" sqref="F12">
      <formula1>装备源表!$E$292:$E$300</formula1>
    </dataValidation>
    <dataValidation type="list" allowBlank="1" showInputMessage="1" showErrorMessage="1" sqref="D13:E13">
      <formula1>装备源表!$E$161:$E$178</formula1>
    </dataValidation>
    <dataValidation type="list" allowBlank="1" showInputMessage="1" showErrorMessage="1" sqref="F13">
      <formula1>装备源表!$E$301:$E$305</formula1>
    </dataValidation>
    <dataValidation type="list" allowBlank="1" showInputMessage="1" showErrorMessage="1" sqref="D14:E14">
      <formula1>装备源表!$E$145:$E$160</formula1>
    </dataValidation>
    <dataValidation type="list" allowBlank="1" showInputMessage="1" showErrorMessage="1" sqref="F14">
      <formula1>装备源表!$E$306:$E$307</formula1>
    </dataValidation>
    <dataValidation type="list" allowBlank="1" showInputMessage="1" showErrorMessage="1" sqref="D15:E15">
      <formula1>装备源表!$E$202:$E$219</formula1>
    </dataValidation>
    <dataValidation type="list" allowBlank="1" showInputMessage="1" showErrorMessage="1" sqref="F15">
      <formula1>装备源表!$E$308:$E$309</formula1>
    </dataValidation>
    <dataValidation type="list" allowBlank="1" showInputMessage="1" showErrorMessage="1" sqref="D16:E16 D17:E17">
      <formula1>装备源表!$E$49:$E$66</formula1>
    </dataValidation>
    <dataValidation type="list" allowBlank="1" showInputMessage="1" showErrorMessage="1" sqref="F16">
      <formula1>装备源表!$E$310:$E$313</formula1>
    </dataValidation>
    <dataValidation type="list" allowBlank="1" showInputMessage="1" showErrorMessage="1" sqref="F17">
      <formula1>装备源表!$E$314:$E$317</formula1>
    </dataValidation>
    <dataValidation type="list" allowBlank="1" showInputMessage="1" showErrorMessage="1" sqref="D18:E18">
      <formula1>装备源表!$E$2:$E$18</formula1>
    </dataValidation>
    <dataValidation type="list" allowBlank="1" showInputMessage="1" showErrorMessage="1" sqref="F18">
      <formula1>装备源表!$E$318:$E$320</formula1>
    </dataValidation>
    <dataValidation type="list" allowBlank="1" showInputMessage="1" showErrorMessage="1" sqref="D19:E19">
      <formula1>装备源表!$E$220:$E$232</formula1>
    </dataValidation>
    <dataValidation type="list" allowBlank="1" showInputMessage="1" showErrorMessage="1" sqref="F19">
      <formula1>装备源表!$E$321:$E$323</formula1>
    </dataValidation>
    <dataValidation type="list" allowBlank="1" showInputMessage="1" showErrorMessage="1" sqref="D20:E20">
      <formula1>装备源表!$E$239:$E$251</formula1>
    </dataValidation>
    <dataValidation type="list" allowBlank="1" showInputMessage="1" showErrorMessage="1" sqref="D21:E21">
      <formula1>装备源表!$K$336:$K$338</formula1>
    </dataValidation>
    <dataValidation type="list" allowBlank="1" showInputMessage="1" showErrorMessage="1" sqref="D43">
      <formula1>额外增益统计!$B$103:$B$107</formula1>
    </dataValidation>
    <dataValidation type="list" allowBlank="1" showInputMessage="1" showErrorMessage="1" sqref="D44 D45">
      <formula1/>
    </dataValidation>
    <dataValidation type="list" allowBlank="1" showInputMessage="1" showErrorMessage="1" sqref="D69">
      <formula1>额外增益统计!$B$2:$B$4</formula1>
    </dataValidation>
    <dataValidation type="list" allowBlank="1" showInputMessage="1" showErrorMessage="1" sqref="D70">
      <formula1>额外增益统计!$B$5:$B$13</formula1>
    </dataValidation>
    <dataValidation type="list" allowBlank="1" showInputMessage="1" showErrorMessage="1" sqref="D71">
      <formula1>额外增益统计!$B$14:$B$16</formula1>
    </dataValidation>
    <dataValidation type="list" allowBlank="1" showInputMessage="1" showErrorMessage="1" sqref="D72">
      <formula1>额外增益统计!$B$17:$B$25</formula1>
    </dataValidation>
    <dataValidation type="list" allowBlank="1" showInputMessage="1" showErrorMessage="1" sqref="D73">
      <formula1>额外增益统计!$B$26:$B$30</formula1>
    </dataValidation>
    <dataValidation type="list" allowBlank="1" showInputMessage="1" showErrorMessage="1" sqref="D74">
      <formula1>额外增益统计!$B$31:$B$41</formula1>
    </dataValidation>
    <dataValidation type="list" allowBlank="1" showInputMessage="1" showErrorMessage="1" sqref="D75">
      <formula1>额外增益统计!$B$42:$B$43</formula1>
    </dataValidation>
    <dataValidation type="list" allowBlank="1" showInputMessage="1" showErrorMessage="1" sqref="D76">
      <formula1>额外增益统计!$B$44:$B$45</formula1>
    </dataValidation>
    <dataValidation type="list" allowBlank="1" showInputMessage="1" showErrorMessage="1" sqref="D77">
      <formula1>额外增益统计!$B$46:$B$48</formula1>
    </dataValidation>
    <dataValidation type="list" allowBlank="1" showInputMessage="1" showErrorMessage="1" sqref="D78">
      <formula1>额外增益统计!$B$49:$B$50</formula1>
    </dataValidation>
    <dataValidation type="list" allowBlank="1" showInputMessage="1" showErrorMessage="1" sqref="D79">
      <formula1>额外增益统计!$B$61:$B$73</formula1>
    </dataValidation>
    <dataValidation type="list" allowBlank="1" showInputMessage="1" showErrorMessage="1" sqref="D80">
      <formula1>额外增益统计!$B$75:$B$77</formula1>
    </dataValidation>
    <dataValidation type="list" allowBlank="1" showInputMessage="1" showErrorMessage="1" sqref="D81">
      <formula1>额外增益统计!$B$78:$B$80</formula1>
    </dataValidation>
    <dataValidation type="list" allowBlank="1" showInputMessage="1" showErrorMessage="1" sqref="D82">
      <formula1>额外增益统计!$B$81:$B$82</formula1>
    </dataValidation>
    <dataValidation type="list" allowBlank="1" showInputMessage="1" showErrorMessage="1" sqref="D83">
      <formula1>额外增益统计!$B$83:$B$86</formula1>
    </dataValidation>
    <dataValidation type="list" allowBlank="1" showInputMessage="1" showErrorMessage="1" sqref="D84">
      <formula1>额外增益统计!$B$87:$B$88</formula1>
    </dataValidation>
    <dataValidation type="list" allowBlank="1" showInputMessage="1" showErrorMessage="1" sqref="D85">
      <formula1>额外增益统计!$B$89:$B$92</formula1>
    </dataValidation>
    <dataValidation type="list" allowBlank="1" showInputMessage="1" showErrorMessage="1" sqref="D86">
      <formula1>额外增益统计!$B$93:$B$94</formula1>
    </dataValidation>
    <dataValidation type="list" allowBlank="1" showInputMessage="1" showErrorMessage="1" sqref="D87">
      <formula1>额外增益统计!$B$95:$B$96</formula1>
    </dataValidation>
    <dataValidation type="list" allowBlank="1" showInputMessage="1" showErrorMessage="1" sqref="D88">
      <formula1>额外增益统计!$B$97:$B$100</formula1>
    </dataValidation>
    <dataValidation type="list" allowBlank="1" showInputMessage="1" showErrorMessage="1" sqref="D89">
      <formula1>额外增益统计!$B$51:$B$52</formula1>
    </dataValidation>
    <dataValidation type="list" allowBlank="1" showInputMessage="1" showErrorMessage="1" sqref="D90">
      <formula1>额外增益统计!$B$53:$B$54</formula1>
    </dataValidation>
    <dataValidation type="list" allowBlank="1" showInputMessage="1" showErrorMessage="1" sqref="D91">
      <formula1>额外增益统计!$B$55:$B$56</formula1>
    </dataValidation>
    <dataValidation type="list" allowBlank="1" showInputMessage="1" showErrorMessage="1" sqref="D92">
      <formula1>额外增益统计!$B$57:$B$58</formula1>
    </dataValidation>
  </dataValidations>
  <hyperlinks>
    <hyperlink ref="S28" r:id="rId4" display="点击跳转攻略"/>
    <hyperlink ref="S39" r:id="rId5" display="点击跳转攻略"/>
    <hyperlink ref="S25" r:id="rId6" display="点击跳转攻略"/>
    <hyperlink ref="S27" r:id="rId6" display="点击跳转攻略"/>
    <hyperlink ref="S36" r:id="rId7" display="点击跳转攻略"/>
    <hyperlink ref="S34" r:id="rId5" display="点击跳转攻略"/>
    <hyperlink ref="S33" r:id="rId8" display="点击跳转攻略"/>
    <hyperlink ref="S32" r:id="rId7" display="点击跳转攻略"/>
    <hyperlink ref="S31" r:id="rId9" display="点击跳转攻略"/>
    <hyperlink ref="S40" r:id="rId9" display="点击跳转攻略"/>
    <hyperlink ref="S29" r:id="rId4" display="点击跳转攻略"/>
    <hyperlink ref="S38" r:id="rId4" display="点击跳转攻略"/>
    <hyperlink ref="S26" r:id="rId10" display="点击跳转攻略"/>
  </hyperlinks>
  <pageMargins left="0.75" right="0.75" top="1" bottom="1" header="0.5" footer="0.5"/>
  <pageSetup paperSize="9" orientation="portrait"/>
  <headerFooter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a0eb2db-b1f5-4596-a5ad-f846291e150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N25:N40 N52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8"/>
  <sheetViews>
    <sheetView workbookViewId="0">
      <pane ySplit="1" topLeftCell="A93" activePane="bottomLeft" state="frozen"/>
      <selection/>
      <selection pane="bottomLeft" activeCell="E136" sqref="E136"/>
    </sheetView>
  </sheetViews>
  <sheetFormatPr defaultColWidth="9.64166666666667" defaultRowHeight="13.5"/>
  <cols>
    <col min="1" max="1" width="15.125" customWidth="1"/>
    <col min="2" max="2" width="27.875" customWidth="1"/>
    <col min="3" max="3" width="8.375" customWidth="1"/>
    <col min="6" max="6" width="12.625"/>
    <col min="10" max="10" width="12.625"/>
    <col min="13" max="13" width="15" customWidth="1"/>
    <col min="14" max="14" width="14.125"/>
  </cols>
  <sheetData>
    <row r="1" ht="14.25" spans="1:14">
      <c r="A1" t="s">
        <v>276</v>
      </c>
      <c r="B1" t="s">
        <v>277</v>
      </c>
      <c r="C1" t="s">
        <v>278</v>
      </c>
      <c r="D1" t="s">
        <v>279</v>
      </c>
      <c r="E1" t="s">
        <v>280</v>
      </c>
      <c r="F1" t="s">
        <v>35</v>
      </c>
      <c r="G1" t="s">
        <v>28</v>
      </c>
      <c r="H1" t="s">
        <v>42</v>
      </c>
      <c r="I1" t="s">
        <v>32</v>
      </c>
      <c r="J1" t="s">
        <v>38</v>
      </c>
      <c r="K1" t="s">
        <v>281</v>
      </c>
      <c r="L1" t="s">
        <v>282</v>
      </c>
      <c r="M1" s="92" t="s">
        <v>283</v>
      </c>
      <c r="N1" s="92"/>
    </row>
    <row r="2" ht="17.25" spans="13:14">
      <c r="M2" s="77" t="s">
        <v>20</v>
      </c>
      <c r="N2" s="78">
        <f>E60</f>
        <v>0</v>
      </c>
    </row>
    <row r="3" ht="17.25" spans="1:14">
      <c r="A3" t="s">
        <v>119</v>
      </c>
      <c r="B3" s="90" t="s">
        <v>284</v>
      </c>
      <c r="C3" s="90" t="b">
        <f>IF(COUNTIF(按提示输入属性!D70:D80,B3)&gt;0,TRUE,FALSE)</f>
        <v>0</v>
      </c>
      <c r="D3">
        <v>382</v>
      </c>
      <c r="M3" s="77" t="s">
        <v>25</v>
      </c>
      <c r="N3" s="78">
        <f>INT(E60+D60*1.75)</f>
        <v>0</v>
      </c>
    </row>
    <row r="4" ht="17.25" spans="1:14">
      <c r="A4" t="s">
        <v>119</v>
      </c>
      <c r="B4" s="91" t="s">
        <v>285</v>
      </c>
      <c r="C4" s="91" t="b">
        <f>IF(COUNTIF(按提示输入属性!D70:D80,B4)&gt;0,TRUE,FALSE)</f>
        <v>0</v>
      </c>
      <c r="D4">
        <v>191</v>
      </c>
      <c r="M4" s="77" t="s">
        <v>28</v>
      </c>
      <c r="N4" s="81">
        <f>INT(INT(G60+(0.64+0.56)*D60)/78622.5*10000)*0.0001+G74</f>
        <v>0</v>
      </c>
    </row>
    <row r="5" ht="17.25" spans="2:14">
      <c r="B5" s="91"/>
      <c r="C5" s="91"/>
      <c r="M5" s="77" t="s">
        <v>35</v>
      </c>
      <c r="N5" s="81">
        <f>INT(F60/78622.5*10000)*0.0001+F74+F101</f>
        <v>0</v>
      </c>
    </row>
    <row r="6" ht="17.25" spans="1:14">
      <c r="A6" t="s">
        <v>121</v>
      </c>
      <c r="B6" s="90" t="s">
        <v>286</v>
      </c>
      <c r="C6" s="90" t="b">
        <f>IF(COUNTIF(按提示输入属性!D70:D80,B6)&gt;0,TRUE,FALSE)</f>
        <v>0</v>
      </c>
      <c r="G6">
        <v>1705</v>
      </c>
      <c r="M6" s="77" t="s">
        <v>42</v>
      </c>
      <c r="N6" s="78">
        <f>H60+H101</f>
        <v>0</v>
      </c>
    </row>
    <row r="7" ht="17.25" spans="1:14">
      <c r="A7" t="s">
        <v>121</v>
      </c>
      <c r="B7" s="90" t="s">
        <v>287</v>
      </c>
      <c r="C7" s="90" t="b">
        <f>IF(COUNTIF(按提示输入属性!D70:D80,B7)&gt;0,TRUE,FALSE)</f>
        <v>0</v>
      </c>
      <c r="F7">
        <v>1705</v>
      </c>
      <c r="M7" s="77" t="s">
        <v>288</v>
      </c>
      <c r="N7" s="81">
        <f>E74+100%</f>
        <v>1</v>
      </c>
    </row>
    <row r="8" ht="17.25" spans="1:14">
      <c r="A8" t="s">
        <v>121</v>
      </c>
      <c r="B8" s="90" t="s">
        <v>289</v>
      </c>
      <c r="C8" s="90" t="b">
        <f>IF(COUNTIF(按提示输入属性!D70:D80,B8)&gt;0,TRUE,FALSE)</f>
        <v>0</v>
      </c>
      <c r="H8">
        <v>1705</v>
      </c>
      <c r="M8" s="77" t="s">
        <v>32</v>
      </c>
      <c r="N8" s="81">
        <f>I74</f>
        <v>0</v>
      </c>
    </row>
    <row r="9" ht="17.25" spans="1:14">
      <c r="A9" t="s">
        <v>121</v>
      </c>
      <c r="B9" s="90" t="s">
        <v>290</v>
      </c>
      <c r="C9" s="90" t="b">
        <f>IF(COUNTIF(按提示输入属性!D70:D80,B9)&gt;0,TRUE,FALSE)</f>
        <v>0</v>
      </c>
      <c r="E9">
        <v>917</v>
      </c>
      <c r="M9" s="77" t="s">
        <v>38</v>
      </c>
      <c r="N9" s="81">
        <f>INT(J60/75809.25*10000)*0.0001+J74+J101</f>
        <v>0</v>
      </c>
    </row>
    <row r="10" ht="17.25" spans="1:14">
      <c r="A10" t="s">
        <v>121</v>
      </c>
      <c r="B10" s="91" t="s">
        <v>291</v>
      </c>
      <c r="C10" s="91" t="b">
        <f>IF(COUNTIF(按提示输入属性!D70:D80,B10)&gt;0,TRUE,FALSE)</f>
        <v>0</v>
      </c>
      <c r="G10">
        <v>853</v>
      </c>
      <c r="M10" s="77" t="s">
        <v>281</v>
      </c>
      <c r="N10" s="81">
        <f>K74+100%+K101</f>
        <v>1</v>
      </c>
    </row>
    <row r="11" ht="17.25" spans="1:14">
      <c r="A11" t="s">
        <v>121</v>
      </c>
      <c r="B11" s="91" t="s">
        <v>292</v>
      </c>
      <c r="C11" s="91" t="b">
        <f>IF(COUNTIF(按提示输入属性!D70:D80,B11)&gt;0,TRUE,FALSE)</f>
        <v>0</v>
      </c>
      <c r="F11">
        <v>853</v>
      </c>
      <c r="M11" s="77" t="s">
        <v>293</v>
      </c>
      <c r="N11" s="81">
        <f>SUMIFS(D64:D72,D64:D72,"&gt;0",$C$64:$C$72,TRUE)</f>
        <v>0</v>
      </c>
    </row>
    <row r="12" ht="17.25" spans="1:14">
      <c r="A12" t="s">
        <v>121</v>
      </c>
      <c r="B12" s="91" t="s">
        <v>294</v>
      </c>
      <c r="C12" s="91" t="b">
        <f>IF(COUNTIF(按提示输入属性!D70:D80,B12)&gt;0,TRUE,FALSE)</f>
        <v>0</v>
      </c>
      <c r="H12">
        <v>853</v>
      </c>
      <c r="M12" s="77" t="s">
        <v>295</v>
      </c>
      <c r="N12" s="81">
        <f>1+M74</f>
        <v>1</v>
      </c>
    </row>
    <row r="13" spans="1:5">
      <c r="A13" t="s">
        <v>121</v>
      </c>
      <c r="B13" s="91" t="s">
        <v>296</v>
      </c>
      <c r="C13" s="91" t="b">
        <f>IF(COUNTIF(按提示输入属性!D70:D80,B13)&gt;0,TRUE,FALSE)</f>
        <v>0</v>
      </c>
      <c r="E13">
        <v>458</v>
      </c>
    </row>
    <row r="14" spans="2:3">
      <c r="B14" s="91"/>
      <c r="C14" s="91"/>
    </row>
    <row r="15" spans="1:4">
      <c r="A15" t="s">
        <v>122</v>
      </c>
      <c r="B15" s="90" t="s">
        <v>297</v>
      </c>
      <c r="C15" s="90" t="b">
        <f>IF(COUNTIF(按提示输入属性!D70:D80,B15)&gt;0,TRUE,FALSE)</f>
        <v>0</v>
      </c>
      <c r="D15">
        <v>492</v>
      </c>
    </row>
    <row r="16" spans="1:4">
      <c r="A16" t="s">
        <v>122</v>
      </c>
      <c r="B16" s="91" t="s">
        <v>298</v>
      </c>
      <c r="C16" s="91" t="b">
        <f>IF(COUNTIF(按提示输入属性!D70:D80,B16)&gt;0,TRUE,FALSE)</f>
        <v>0</v>
      </c>
      <c r="D16">
        <v>246</v>
      </c>
    </row>
    <row r="17" spans="2:3">
      <c r="B17" s="91"/>
      <c r="C17" s="91"/>
    </row>
    <row r="18" spans="1:7">
      <c r="A18" t="s">
        <v>123</v>
      </c>
      <c r="B18" s="90" t="s">
        <v>299</v>
      </c>
      <c r="C18" s="90" t="b">
        <f>IF(COUNTIF(按提示输入属性!D70:D80,B18)&gt;0,TRUE,FALSE)</f>
        <v>0</v>
      </c>
      <c r="G18">
        <v>2192</v>
      </c>
    </row>
    <row r="19" spans="1:6">
      <c r="A19" t="s">
        <v>123</v>
      </c>
      <c r="B19" s="90" t="s">
        <v>300</v>
      </c>
      <c r="C19" s="90" t="b">
        <f>IF(COUNTIF(按提示输入属性!D70:D80,B19)&gt;0,TRUE,FALSE)</f>
        <v>0</v>
      </c>
      <c r="F19">
        <v>2192</v>
      </c>
    </row>
    <row r="20" spans="1:8">
      <c r="A20" t="s">
        <v>123</v>
      </c>
      <c r="B20" s="90" t="s">
        <v>301</v>
      </c>
      <c r="C20" s="90" t="b">
        <f>IF(COUNTIF(按提示输入属性!D70:D80,B20)&gt;0,TRUE,FALSE)</f>
        <v>0</v>
      </c>
      <c r="H20">
        <v>2192</v>
      </c>
    </row>
    <row r="21" spans="1:5">
      <c r="A21" t="s">
        <v>123</v>
      </c>
      <c r="B21" s="90" t="s">
        <v>302</v>
      </c>
      <c r="C21" s="90" t="b">
        <f>IF(COUNTIF(按提示输入属性!D70:D80,B21)&gt;0,TRUE,FALSE)</f>
        <v>0</v>
      </c>
      <c r="E21">
        <v>1179</v>
      </c>
    </row>
    <row r="22" spans="1:7">
      <c r="A22" t="s">
        <v>123</v>
      </c>
      <c r="B22" s="91" t="s">
        <v>303</v>
      </c>
      <c r="C22" s="91" t="b">
        <f>IF(COUNTIF(按提示输入属性!D70:D80,B22)&gt;0,TRUE,FALSE)</f>
        <v>0</v>
      </c>
      <c r="G22">
        <v>1096</v>
      </c>
    </row>
    <row r="23" spans="1:6">
      <c r="A23" t="s">
        <v>123</v>
      </c>
      <c r="B23" s="91" t="s">
        <v>304</v>
      </c>
      <c r="C23" s="91" t="b">
        <f>IF(COUNTIF(按提示输入属性!D70:D80,B23)&gt;0,TRUE,FALSE)</f>
        <v>0</v>
      </c>
      <c r="F23">
        <v>1096</v>
      </c>
    </row>
    <row r="24" spans="1:8">
      <c r="A24" t="s">
        <v>123</v>
      </c>
      <c r="B24" s="91" t="s">
        <v>305</v>
      </c>
      <c r="C24" s="91" t="b">
        <f>IF(COUNTIF(按提示输入属性!D70:D80,B24)&gt;0,TRUE,FALSE)</f>
        <v>0</v>
      </c>
      <c r="H24">
        <v>1096</v>
      </c>
    </row>
    <row r="25" spans="1:5">
      <c r="A25" t="s">
        <v>123</v>
      </c>
      <c r="B25" s="91" t="s">
        <v>306</v>
      </c>
      <c r="C25" s="91" t="b">
        <f>IF(COUNTIF(按提示输入属性!D70:D80,B25)&gt;0,TRUE,FALSE)</f>
        <v>0</v>
      </c>
      <c r="E25">
        <v>589</v>
      </c>
    </row>
    <row r="26" spans="2:3">
      <c r="B26" s="91"/>
      <c r="C26" s="91"/>
    </row>
    <row r="27" spans="1:4">
      <c r="A27" t="s">
        <v>124</v>
      </c>
      <c r="B27" s="91" t="s">
        <v>307</v>
      </c>
      <c r="C27" s="91" t="b">
        <f>IF(COUNTIF(按提示输入属性!D74:D74,B27)&gt;0,TRUE,FALSE)</f>
        <v>0</v>
      </c>
      <c r="D27">
        <v>64</v>
      </c>
    </row>
    <row r="28" spans="2:4">
      <c r="B28" s="91" t="s">
        <v>308</v>
      </c>
      <c r="C28" s="91" t="b">
        <f>IF(COUNTIF(按提示输入属性!D74:D74,B28)&gt;0,TRUE,FALSE)</f>
        <v>0</v>
      </c>
      <c r="D28">
        <v>128</v>
      </c>
    </row>
    <row r="29" spans="2:4">
      <c r="B29" s="91" t="s">
        <v>309</v>
      </c>
      <c r="C29" s="91" t="b">
        <f>IF(COUNTIF(按提示输入属性!D74:D74,B29)&gt;0,TRUE,FALSE)</f>
        <v>0</v>
      </c>
      <c r="D29">
        <v>192</v>
      </c>
    </row>
    <row r="30" spans="2:4">
      <c r="B30" s="91" t="s">
        <v>310</v>
      </c>
      <c r="C30" s="91" t="b">
        <f>IF(COUNTIF(按提示输入属性!D74:D74,B30)&gt;0,TRUE,FALSE)</f>
        <v>0</v>
      </c>
      <c r="D30">
        <v>256</v>
      </c>
    </row>
    <row r="31" spans="2:3">
      <c r="B31" s="91"/>
      <c r="C31" s="91"/>
    </row>
    <row r="32" spans="1:5">
      <c r="A32" t="s">
        <v>125</v>
      </c>
      <c r="B32" t="s">
        <v>311</v>
      </c>
      <c r="C32" s="91" t="b">
        <f>IF(COUNTIF(按提示输入属性!D75:D75,B32)&gt;0,TRUE,FALSE)</f>
        <v>0</v>
      </c>
      <c r="E32">
        <v>384</v>
      </c>
    </row>
    <row r="33" spans="2:7">
      <c r="B33" t="s">
        <v>312</v>
      </c>
      <c r="C33" s="91" t="b">
        <f>IF(COUNTIF(按提示输入属性!D75:D75,B33)&gt;0,TRUE,FALSE)</f>
        <v>0</v>
      </c>
      <c r="G33">
        <v>716</v>
      </c>
    </row>
    <row r="34" spans="2:6">
      <c r="B34" t="s">
        <v>313</v>
      </c>
      <c r="C34" s="91" t="b">
        <f>IF(COUNTIF(按提示输入属性!D75:D75,B34)&gt;0,TRUE,FALSE)</f>
        <v>0</v>
      </c>
      <c r="F34">
        <v>716</v>
      </c>
    </row>
    <row r="35" spans="2:8">
      <c r="B35" t="s">
        <v>314</v>
      </c>
      <c r="C35" s="91" t="b">
        <f>IF(COUNTIF(按提示输入属性!D75:D75,B35)&gt;0,TRUE,FALSE)</f>
        <v>0</v>
      </c>
      <c r="H35">
        <v>716</v>
      </c>
    </row>
    <row r="36" spans="2:10">
      <c r="B36" t="s">
        <v>315</v>
      </c>
      <c r="C36" s="91" t="b">
        <f>IF(COUNTIF(按提示输入属性!D75:D75,B36)&gt;0,TRUE,FALSE)</f>
        <v>0</v>
      </c>
      <c r="J36">
        <v>716</v>
      </c>
    </row>
    <row r="37" spans="2:5">
      <c r="B37" t="s">
        <v>316</v>
      </c>
      <c r="C37" s="91" t="b">
        <f>IF(COUNTIF(按提示输入属性!D75:D75,B37)&gt;0,TRUE,FALSE)</f>
        <v>0</v>
      </c>
      <c r="E37">
        <v>1038</v>
      </c>
    </row>
    <row r="38" spans="2:8">
      <c r="B38" t="s">
        <v>317</v>
      </c>
      <c r="C38" s="91" t="b">
        <f>IF(COUNTIF(按提示输入属性!D75:D75,B38)&gt;0,TRUE,FALSE)</f>
        <v>0</v>
      </c>
      <c r="H38">
        <v>1934</v>
      </c>
    </row>
    <row r="39" spans="2:10">
      <c r="B39" t="s">
        <v>318</v>
      </c>
      <c r="C39" s="91" t="b">
        <f>IF(COUNTIF(按提示输入属性!D75:D75,B39)&gt;0,TRUE,FALSE)</f>
        <v>0</v>
      </c>
      <c r="J39">
        <v>1934</v>
      </c>
    </row>
    <row r="40" spans="2:6">
      <c r="B40" t="s">
        <v>319</v>
      </c>
      <c r="C40" s="91" t="b">
        <f>IF(COUNTIF(按提示输入属性!D75:D75,B40)&gt;0,TRUE,FALSE)</f>
        <v>0</v>
      </c>
      <c r="F40">
        <v>1934</v>
      </c>
    </row>
    <row r="41" spans="2:7">
      <c r="B41" t="s">
        <v>320</v>
      </c>
      <c r="C41" s="91" t="b">
        <f>IF(COUNTIF(按提示输入属性!D75:D75,B41)&gt;0,TRUE,FALSE)</f>
        <v>0</v>
      </c>
      <c r="G41">
        <v>1934</v>
      </c>
    </row>
    <row r="42" spans="2:3">
      <c r="B42" s="91"/>
      <c r="C42" s="91"/>
    </row>
    <row r="43" spans="1:10">
      <c r="A43" t="s">
        <v>126</v>
      </c>
      <c r="B43" s="91" t="s">
        <v>321</v>
      </c>
      <c r="C43" s="91" t="b">
        <f>IF(COUNTIF(按提示输入属性!D76:D76,B43)&gt;0,TRUE,FALSE)</f>
        <v>0</v>
      </c>
      <c r="J43">
        <v>517</v>
      </c>
    </row>
    <row r="44" spans="2:3">
      <c r="B44" s="91"/>
      <c r="C44" s="91"/>
    </row>
    <row r="45" spans="1:10">
      <c r="A45" t="s">
        <v>322</v>
      </c>
      <c r="B45" s="91" t="s">
        <v>323</v>
      </c>
      <c r="C45" s="91" t="b">
        <f>IF(COUNTIF(按提示输入属性!D77:D77,B45)&gt;0,TRUE,FALSE)</f>
        <v>0</v>
      </c>
      <c r="H45">
        <v>258</v>
      </c>
      <c r="J45">
        <v>258</v>
      </c>
    </row>
    <row r="46" spans="2:3">
      <c r="B46" s="91"/>
      <c r="C46" s="91"/>
    </row>
    <row r="47" spans="1:10">
      <c r="A47" t="s">
        <v>128</v>
      </c>
      <c r="B47" s="91" t="s">
        <v>324</v>
      </c>
      <c r="C47" s="91" t="b">
        <f>IF(COUNTIF(按提示输入属性!D78:D78,B47)&gt;0,TRUE,FALSE)</f>
        <v>0</v>
      </c>
      <c r="H47">
        <v>100</v>
      </c>
      <c r="J47">
        <v>100</v>
      </c>
    </row>
    <row r="48" spans="2:10">
      <c r="B48" s="91" t="s">
        <v>325</v>
      </c>
      <c r="C48" s="91" t="b">
        <f>IF(COUNTIF(按提示输入属性!D78:D78,B48)&gt;0,TRUE,FALSE)</f>
        <v>0</v>
      </c>
      <c r="H48">
        <v>400</v>
      </c>
      <c r="J48">
        <v>400</v>
      </c>
    </row>
    <row r="50" spans="1:8">
      <c r="A50" t="s">
        <v>129</v>
      </c>
      <c r="B50" s="91" t="s">
        <v>326</v>
      </c>
      <c r="C50" s="91" t="b">
        <f>IF(COUNTIF(按提示输入属性!D79:D79,B50)&gt;0,TRUE,FALSE)</f>
        <v>0</v>
      </c>
      <c r="E50">
        <v>524</v>
      </c>
      <c r="G50">
        <v>975</v>
      </c>
      <c r="H50">
        <v>975</v>
      </c>
    </row>
    <row r="51" spans="2:3">
      <c r="B51" s="91"/>
      <c r="C51" s="91"/>
    </row>
    <row r="52" spans="1:4">
      <c r="A52" t="s">
        <v>327</v>
      </c>
      <c r="B52" s="91" t="s">
        <v>328</v>
      </c>
      <c r="C52" s="91" t="b">
        <f>IF(COUNTIF(按提示输入属性!D90:D90,B52)&gt;0,TRUE,FALSE)</f>
        <v>0</v>
      </c>
      <c r="D52">
        <v>111</v>
      </c>
    </row>
    <row r="53" spans="2:3">
      <c r="B53" s="91"/>
      <c r="C53" s="91"/>
    </row>
    <row r="54" spans="1:5">
      <c r="A54" t="s">
        <v>329</v>
      </c>
      <c r="B54" s="91" t="s">
        <v>330</v>
      </c>
      <c r="C54" s="91" t="b">
        <f>IF(COUNTIF(按提示输入属性!D91:D91,B54)&gt;0,TRUE,FALSE)</f>
        <v>0</v>
      </c>
      <c r="E54">
        <v>266</v>
      </c>
    </row>
    <row r="55" spans="2:3">
      <c r="B55" s="91"/>
      <c r="C55" s="91"/>
    </row>
    <row r="56" spans="1:4">
      <c r="A56" t="s">
        <v>331</v>
      </c>
      <c r="B56" t="s">
        <v>332</v>
      </c>
      <c r="C56" s="91" t="b">
        <f>IF(COUNTIF(按提示输入属性!D92:D92,B56)&gt;0,TRUE,FALSE)</f>
        <v>0</v>
      </c>
      <c r="D56">
        <v>86</v>
      </c>
    </row>
    <row r="57" spans="2:3">
      <c r="B57" s="91"/>
      <c r="C57" s="91"/>
    </row>
    <row r="58" spans="1:5">
      <c r="A58" t="s">
        <v>333</v>
      </c>
      <c r="B58" t="s">
        <v>334</v>
      </c>
      <c r="C58" s="91" t="b">
        <f>IF(COUNTIF(按提示输入属性!D93:D93,B58)&gt;0,TRUE,FALSE)</f>
        <v>0</v>
      </c>
      <c r="E58">
        <v>207</v>
      </c>
    </row>
    <row r="59" spans="2:3">
      <c r="B59" s="91"/>
      <c r="C59" s="91"/>
    </row>
    <row r="60" spans="1:10">
      <c r="A60" t="s">
        <v>335</v>
      </c>
      <c r="D60">
        <f>SUMIFS(D2:D58,D2:D58,"&gt;1",$C$2:$C$58,TRUE)</f>
        <v>0</v>
      </c>
      <c r="E60">
        <f>SUMIFS(E2:E58,E2:E58,"&gt;1",$C$2:$C$58,TRUE)</f>
        <v>0</v>
      </c>
      <c r="F60">
        <f>SUMIFS(F2:F58,F2:F58,"&gt;1",$C$2:$C$58,TRUE)</f>
        <v>0</v>
      </c>
      <c r="G60">
        <f>SUMIFS(G2:G58,G2:G58,"&gt;1",$C$2:$C$58,TRUE)</f>
        <v>0</v>
      </c>
      <c r="H60">
        <f>SUMIFS(H2:H58,H2:H58,"&lt;9999999",$C$2:$C$58,TRUE)</f>
        <v>0</v>
      </c>
      <c r="J60">
        <f>SUMIFS(J2:J58,J2:J58,"&lt;999999",$C$2:$C$58,TRUE)</f>
        <v>0</v>
      </c>
    </row>
    <row r="61" spans="13:13">
      <c r="M61" t="s">
        <v>35</v>
      </c>
    </row>
    <row r="62" spans="1:11">
      <c r="A62" s="36" t="s">
        <v>336</v>
      </c>
      <c r="B62" t="s">
        <v>337</v>
      </c>
      <c r="C62" t="b">
        <f>IF(COUNTIF(按提示输入属性!D80,B62)&gt;0,TRUE,FALSE)</f>
        <v>0</v>
      </c>
      <c r="D62">
        <v>1</v>
      </c>
      <c r="E62" s="16"/>
      <c r="F62" s="16"/>
      <c r="G62" s="16">
        <f>0.03+0.05</f>
        <v>0.08</v>
      </c>
      <c r="H62" s="16"/>
      <c r="I62" s="16">
        <v>0.15</v>
      </c>
      <c r="J62" s="16">
        <v>0.02</v>
      </c>
      <c r="K62" s="16"/>
    </row>
    <row r="63" spans="1:11">
      <c r="A63" s="36"/>
      <c r="B63" t="s">
        <v>338</v>
      </c>
      <c r="C63" t="b">
        <f>IF(COUNTIF(按提示输入属性!D80,B63)&gt;0,TRUE,FALSE)</f>
        <v>0</v>
      </c>
      <c r="E63" s="16"/>
      <c r="F63" s="16"/>
      <c r="G63" s="16">
        <f>0.03+0.05</f>
        <v>0.08</v>
      </c>
      <c r="H63" s="16"/>
      <c r="I63" s="16">
        <v>0.15</v>
      </c>
      <c r="J63" s="16">
        <v>0.02</v>
      </c>
      <c r="K63" s="16"/>
    </row>
    <row r="64" spans="1:12">
      <c r="A64" s="36"/>
      <c r="B64" t="s">
        <v>339</v>
      </c>
      <c r="C64" t="b">
        <f>IF(COUNTIF(按提示输入属性!D80,B64)&gt;0,TRUE,FALSE)</f>
        <v>0</v>
      </c>
      <c r="E64" s="16">
        <v>0.05</v>
      </c>
      <c r="F64" s="16"/>
      <c r="G64" s="16">
        <v>0.05</v>
      </c>
      <c r="H64" s="16"/>
      <c r="I64" s="16">
        <v>0.15</v>
      </c>
      <c r="J64" s="16"/>
      <c r="K64" s="16"/>
      <c r="L64" s="16">
        <v>0.05</v>
      </c>
    </row>
    <row r="65" spans="1:12">
      <c r="A65" s="36"/>
      <c r="B65" t="s">
        <v>340</v>
      </c>
      <c r="C65" t="b">
        <f>IF(COUNTIF(按提示输入属性!D80,B65)&gt;0,TRUE,FALSE)</f>
        <v>0</v>
      </c>
      <c r="E65" s="16">
        <v>0.1</v>
      </c>
      <c r="F65" s="16"/>
      <c r="G65" s="16">
        <v>0.08</v>
      </c>
      <c r="H65" s="16"/>
      <c r="I65" s="16"/>
      <c r="J65" s="16">
        <v>0.02</v>
      </c>
      <c r="K65" s="16"/>
      <c r="L65" s="98"/>
    </row>
    <row r="66" spans="1:12">
      <c r="A66" s="36"/>
      <c r="B66" t="s">
        <v>341</v>
      </c>
      <c r="C66" t="b">
        <f>IF(COUNTIF(按提示输入属性!D80,B66)&gt;0,TRUE,FALSE)</f>
        <v>0</v>
      </c>
      <c r="E66" s="16">
        <v>0.1</v>
      </c>
      <c r="F66" s="16">
        <v>0.1</v>
      </c>
      <c r="G66" s="16"/>
      <c r="H66" s="16"/>
      <c r="I66" s="16"/>
      <c r="J66" s="16">
        <v>0.02</v>
      </c>
      <c r="K66" s="16"/>
      <c r="L66" s="98"/>
    </row>
    <row r="67" spans="1:12">
      <c r="A67" s="36"/>
      <c r="B67" s="93" t="s">
        <v>342</v>
      </c>
      <c r="C67" t="b">
        <f>IF(COUNTIF(按提示输入属性!D80,B67)&gt;0,TRUE,FALSE)</f>
        <v>0</v>
      </c>
      <c r="E67" s="16">
        <v>0.07</v>
      </c>
      <c r="F67" s="16"/>
      <c r="G67" s="16">
        <v>0.03</v>
      </c>
      <c r="H67" s="16"/>
      <c r="I67" s="16">
        <v>0.05</v>
      </c>
      <c r="J67" s="16"/>
      <c r="K67" s="16"/>
      <c r="L67" s="98"/>
    </row>
    <row r="68" spans="1:13">
      <c r="A68" s="36"/>
      <c r="B68" t="s">
        <v>343</v>
      </c>
      <c r="C68" t="b">
        <f>IF(COUNTIF(按提示输入属性!D80,B68)&gt;0,TRUE,FALSE)</f>
        <v>0</v>
      </c>
      <c r="E68" s="16">
        <v>0.05</v>
      </c>
      <c r="F68" s="16"/>
      <c r="G68" s="16"/>
      <c r="H68" s="16"/>
      <c r="I68" s="16"/>
      <c r="J68" s="16"/>
      <c r="K68" s="16"/>
      <c r="M68">
        <v>0.3</v>
      </c>
    </row>
    <row r="69" spans="1:12">
      <c r="A69" s="36"/>
      <c r="B69" t="s">
        <v>344</v>
      </c>
      <c r="C69" t="b">
        <f>IF(COUNTIF(按提示输入属性!D80,B69)&gt;0,TRUE,FALSE)</f>
        <v>0</v>
      </c>
      <c r="E69" s="16">
        <v>0.05</v>
      </c>
      <c r="F69" s="16">
        <f>0.1*0.7</f>
        <v>0.07</v>
      </c>
      <c r="G69" s="16">
        <v>0.03</v>
      </c>
      <c r="H69" s="16"/>
      <c r="I69" s="16">
        <v>0.1</v>
      </c>
      <c r="J69" s="16"/>
      <c r="K69" s="16"/>
      <c r="L69" s="98"/>
    </row>
    <row r="70" spans="1:11">
      <c r="A70" s="36"/>
      <c r="B70" t="s">
        <v>345</v>
      </c>
      <c r="C70" t="b">
        <f>IF(COUNTIF(按提示输入属性!D80,B70)&gt;0,TRUE,FALSE)</f>
        <v>0</v>
      </c>
      <c r="E70" s="16">
        <v>0.05</v>
      </c>
      <c r="F70" s="16"/>
      <c r="G70" s="16">
        <v>0.05</v>
      </c>
      <c r="H70" s="16"/>
      <c r="I70" s="16"/>
      <c r="J70" s="16"/>
      <c r="K70" s="16">
        <v>0.03</v>
      </c>
    </row>
    <row r="71" spans="1:11">
      <c r="A71" s="36"/>
      <c r="B71" t="s">
        <v>346</v>
      </c>
      <c r="C71" t="b">
        <f>IF(COUNTIF(按提示输入属性!D80,B71)&gt;0,TRUE,FALSE)</f>
        <v>0</v>
      </c>
      <c r="E71" s="16">
        <v>0.05</v>
      </c>
      <c r="F71" s="16"/>
      <c r="G71" s="16"/>
      <c r="H71" s="16"/>
      <c r="I71" s="16">
        <v>0.1</v>
      </c>
      <c r="J71" s="16">
        <v>0.02</v>
      </c>
      <c r="K71" s="16">
        <f>4/24*0.15</f>
        <v>0.025</v>
      </c>
    </row>
    <row r="72" spans="1:11">
      <c r="A72" s="36"/>
      <c r="B72" t="s">
        <v>347</v>
      </c>
      <c r="C72" t="b">
        <f>IF(COUNTIF(按提示输入属性!D80,B72)&gt;0,TRUE,FALSE)</f>
        <v>0</v>
      </c>
      <c r="E72" s="16">
        <v>0.05</v>
      </c>
      <c r="F72" s="16"/>
      <c r="G72" s="16">
        <v>0.04</v>
      </c>
      <c r="H72" s="16"/>
      <c r="I72" s="16"/>
      <c r="J72" s="16"/>
      <c r="K72" s="16"/>
    </row>
    <row r="73" spans="1:11">
      <c r="A73" s="36"/>
      <c r="B73" t="s">
        <v>348</v>
      </c>
      <c r="C73" t="b">
        <f>IF(COUNTIF(按提示输入属性!D80,B73)&gt;0,TRUE,FALSE)</f>
        <v>0</v>
      </c>
      <c r="E73" s="16"/>
      <c r="F73" s="16"/>
      <c r="G73" s="16">
        <v>0.03</v>
      </c>
      <c r="H73" s="16"/>
      <c r="I73" s="16">
        <f>0.15*0.7</f>
        <v>0.105</v>
      </c>
      <c r="J73" s="16">
        <v>0.02</v>
      </c>
      <c r="K73" s="16">
        <v>0.06</v>
      </c>
    </row>
    <row r="74" spans="3:13">
      <c r="C74">
        <f>SUMIFS(D62,D62,"&gt;0",$C$62,TRUE)</f>
        <v>0</v>
      </c>
      <c r="E74">
        <f>SUMIFS(E62:E73,E62:E73,"&gt;0",$C$62:$C$73,TRUE)</f>
        <v>0</v>
      </c>
      <c r="F74">
        <f>SUMIFS(F62:F73,F62:F73,"&gt;0",$C$62:$C$73,TRUE)</f>
        <v>0</v>
      </c>
      <c r="G74">
        <f>SUMIFS(G62:G73,G62:G73,"&gt;0",$C$62:$C$73,TRUE)</f>
        <v>0</v>
      </c>
      <c r="I74">
        <f>SUMIFS(I62:I73,I62:I73,"&gt;0",$C$62:$C$73,TRUE)</f>
        <v>0</v>
      </c>
      <c r="J74">
        <f>SUMIFS(J62:J73,J62:J73,"&gt;0",$C$62:$C$73,TRUE)</f>
        <v>0</v>
      </c>
      <c r="K74">
        <f>SUMIFS(K62:K73,K62:K73,"&gt;0",$C$62:$C$73,TRUE)</f>
        <v>0</v>
      </c>
      <c r="L74">
        <f>SUMIFS(L62:L73,L62:L73,"&gt;0",$C$62:$C$73,TRUE)</f>
        <v>0</v>
      </c>
      <c r="M74">
        <f>SUMIFS(M62:M73,M62:M73,"&gt;0",$C$62:$C$73,TRUE)</f>
        <v>0</v>
      </c>
    </row>
    <row r="76" spans="1:10">
      <c r="A76" s="92" t="s">
        <v>349</v>
      </c>
      <c r="B76" t="s">
        <v>350</v>
      </c>
      <c r="C76" t="b">
        <f>IF(COUNTIF(按提示输入属性!D81,B76)&gt;0,TRUE,FALSE)</f>
        <v>0</v>
      </c>
      <c r="J76">
        <f>470*36/75809.25/2</f>
        <v>0.111595880449945</v>
      </c>
    </row>
    <row r="77" spans="1:10">
      <c r="A77" s="92"/>
      <c r="B77" t="s">
        <v>351</v>
      </c>
      <c r="C77" t="b">
        <f>IF(COUNTIF(按提示输入属性!D81,B77)&gt;0,TRUE,FALSE)</f>
        <v>0</v>
      </c>
      <c r="J77">
        <f>470*24/75809.25/2</f>
        <v>0.0743972536332967</v>
      </c>
    </row>
    <row r="78" spans="1:1">
      <c r="A78" s="92"/>
    </row>
    <row r="79" spans="1:10">
      <c r="A79" s="92"/>
      <c r="B79" t="s">
        <v>352</v>
      </c>
      <c r="C79" t="b">
        <f>IF(COUNTIF(按提示输入属性!D82,B79)&gt;0,TRUE,FALSE)</f>
        <v>0</v>
      </c>
      <c r="J79">
        <f>470*24/75809.25*5/300</f>
        <v>0.00247990845444322</v>
      </c>
    </row>
    <row r="80" spans="1:10">
      <c r="A80" s="92"/>
      <c r="B80" t="s">
        <v>353</v>
      </c>
      <c r="C80" t="b">
        <f>IF(COUNTIF(按提示输入属性!D82,B80)&gt;0,TRUE,FALSE)</f>
        <v>0</v>
      </c>
      <c r="J80">
        <f>705*24/75809.25*5/300</f>
        <v>0.00371986268166484</v>
      </c>
    </row>
    <row r="81" spans="1:1">
      <c r="A81" s="92"/>
    </row>
    <row r="82" spans="1:6">
      <c r="A82" s="92"/>
      <c r="B82" t="s">
        <v>133</v>
      </c>
      <c r="C82" t="b">
        <f>IF(COUNTIF(按提示输入属性!D83,B82)&gt;0,TRUE,FALSE)</f>
        <v>0</v>
      </c>
      <c r="F82">
        <f>0.2/2</f>
        <v>0.1</v>
      </c>
    </row>
    <row r="83" spans="1:1">
      <c r="A83" s="92"/>
    </row>
    <row r="84" spans="1:6">
      <c r="A84" s="92"/>
      <c r="B84" t="s">
        <v>354</v>
      </c>
      <c r="C84" t="b">
        <f>IF(COUNTIF(按提示输入属性!D84,B84)&gt;0,TRUE,FALSE)</f>
        <v>0</v>
      </c>
      <c r="F84">
        <f>60*77/78622.5</f>
        <v>0.0587618048268625</v>
      </c>
    </row>
    <row r="85" spans="1:6">
      <c r="A85" s="92"/>
      <c r="B85" t="s">
        <v>355</v>
      </c>
      <c r="C85" t="b">
        <f>IF(COUNTIF(按提示输入属性!D84,B85)&gt;0,TRUE,FALSE)</f>
        <v>0</v>
      </c>
      <c r="F85">
        <f>60*72/78622.5</f>
        <v>0.0549461032147286</v>
      </c>
    </row>
    <row r="86" spans="1:6">
      <c r="A86" s="92"/>
      <c r="B86" t="s">
        <v>356</v>
      </c>
      <c r="C86" t="b">
        <f>IF(COUNTIF(按提示输入属性!D84,B86)&gt;0,TRUE,FALSE)</f>
        <v>0</v>
      </c>
      <c r="F86">
        <f>60*60/78622.5</f>
        <v>0.0457884193456072</v>
      </c>
    </row>
    <row r="87" spans="1:1">
      <c r="A87" s="92"/>
    </row>
    <row r="88" spans="1:10">
      <c r="A88" s="92"/>
      <c r="B88" t="s">
        <v>135</v>
      </c>
      <c r="C88" t="b">
        <f>IF(COUNTIF(按提示输入属性!D85,B88)&gt;0,TRUE,FALSE)</f>
        <v>0</v>
      </c>
      <c r="J88">
        <f>470*48/75809.25*0.75/2</f>
        <v>0.111595880449945</v>
      </c>
    </row>
    <row r="89" spans="1:1">
      <c r="A89" s="92"/>
    </row>
    <row r="90" spans="1:8">
      <c r="A90" s="92"/>
      <c r="B90" t="s">
        <v>357</v>
      </c>
      <c r="C90" t="b">
        <f>IF(COUNTIF(按提示输入属性!D86,B90)&gt;0,TRUE,FALSE)</f>
        <v>0</v>
      </c>
      <c r="H90">
        <f>120*54</f>
        <v>6480</v>
      </c>
    </row>
    <row r="91" spans="1:8">
      <c r="A91" s="92"/>
      <c r="B91" t="s">
        <v>358</v>
      </c>
      <c r="C91" t="b">
        <f>IF(COUNTIF(按提示输入属性!D86,B91)&gt;0,TRUE,FALSE)</f>
        <v>0</v>
      </c>
      <c r="H91">
        <f>100*54</f>
        <v>5400</v>
      </c>
    </row>
    <row r="92" spans="1:8">
      <c r="A92" s="92"/>
      <c r="B92" t="s">
        <v>359</v>
      </c>
      <c r="C92" t="b">
        <f>IF(COUNTIF(按提示输入属性!D86,B92)&gt;0,TRUE,FALSE)</f>
        <v>0</v>
      </c>
      <c r="H92">
        <f>80*54</f>
        <v>4320</v>
      </c>
    </row>
    <row r="93" spans="1:1">
      <c r="A93" s="92"/>
    </row>
    <row r="94" spans="1:11">
      <c r="A94" s="92"/>
      <c r="B94" t="s">
        <v>137</v>
      </c>
      <c r="C94" t="b">
        <f>IF(COUNTIF(按提示输入属性!D87,B94)&gt;0,TRUE,FALSE)</f>
        <v>0</v>
      </c>
      <c r="K94">
        <v>0.06</v>
      </c>
    </row>
    <row r="95" spans="1:1">
      <c r="A95" s="92"/>
    </row>
    <row r="96" spans="1:11">
      <c r="A96" s="92"/>
      <c r="B96" t="s">
        <v>138</v>
      </c>
      <c r="C96" t="b">
        <f>IF(COUNTIF(按提示输入属性!D88,B96)&gt;0,TRUE,FALSE)</f>
        <v>0</v>
      </c>
      <c r="K96">
        <f>0.12*25/120</f>
        <v>0.025</v>
      </c>
    </row>
    <row r="97" spans="1:1">
      <c r="A97" s="92"/>
    </row>
    <row r="98" spans="1:10">
      <c r="A98" s="92"/>
      <c r="B98" t="s">
        <v>360</v>
      </c>
      <c r="C98" t="b">
        <f>IF(COUNTIF(按提示输入属性!D89,B98)&gt;0,TRUE,FALSE)</f>
        <v>0</v>
      </c>
      <c r="J98">
        <f>120*60/75809.25</f>
        <v>0.0949752174042086</v>
      </c>
    </row>
    <row r="99" spans="1:10">
      <c r="A99" s="92"/>
      <c r="B99" t="s">
        <v>361</v>
      </c>
      <c r="C99" t="b">
        <f>IF(COUNTIF(按提示输入属性!D89,B99)&gt;0,TRUE,FALSE)</f>
        <v>0</v>
      </c>
      <c r="J99">
        <f>100*60/75809.25</f>
        <v>0.0791460145035072</v>
      </c>
    </row>
    <row r="100" spans="1:10">
      <c r="A100" s="92"/>
      <c r="B100" t="s">
        <v>362</v>
      </c>
      <c r="C100" t="b">
        <f>IF(COUNTIF(按提示输入属性!D89,B100)&gt;0,TRUE,FALSE)</f>
        <v>0</v>
      </c>
      <c r="J100">
        <f>80*60/75809.25</f>
        <v>0.0633168116028057</v>
      </c>
    </row>
    <row r="101" spans="6:11">
      <c r="F101">
        <f>SUMIFS(F76:F100,F76:F100,"&lt;9999999",$C$76:$C$100,TRUE)</f>
        <v>0</v>
      </c>
      <c r="H101">
        <f>SUMIFS(H76:H100,H76:H100,"&lt;9999999",$C$76:$C$100,TRUE)</f>
        <v>0</v>
      </c>
      <c r="J101">
        <f>SUMIFS(J76:J100,J76:J100,"&lt;9999999",$C$76:$C$100,TRUE)</f>
        <v>0</v>
      </c>
      <c r="K101">
        <f>SUMIFS(K76:K100,K76:K100,"&lt;9999999",$C$76:$C$100,TRUE)</f>
        <v>0</v>
      </c>
    </row>
    <row r="102" ht="16.5" spans="4:8">
      <c r="D102" s="94" t="s">
        <v>363</v>
      </c>
      <c r="E102" s="94" t="s">
        <v>364</v>
      </c>
      <c r="F102" s="94" t="s">
        <v>365</v>
      </c>
      <c r="G102" s="95" t="s">
        <v>366</v>
      </c>
      <c r="H102" s="95" t="s">
        <v>367</v>
      </c>
    </row>
    <row r="103" spans="1:8">
      <c r="A103" t="s">
        <v>368</v>
      </c>
      <c r="B103" t="s">
        <v>82</v>
      </c>
      <c r="C103" t="b">
        <f>IF(COUNTIF(按提示输入属性!D43,B103)&gt;0,TRUE,FALSE)</f>
        <v>1</v>
      </c>
      <c r="D103">
        <v>0</v>
      </c>
      <c r="E103">
        <v>0</v>
      </c>
      <c r="F103">
        <v>0</v>
      </c>
      <c r="G103">
        <v>0</v>
      </c>
      <c r="H103">
        <v>0</v>
      </c>
    </row>
    <row r="104" spans="2:8">
      <c r="B104" t="s">
        <v>369</v>
      </c>
      <c r="C104" t="b">
        <f>IF(COUNTIF(按提示输入属性!D43,B104)&gt;0,TRUE,FALSE)</f>
        <v>0</v>
      </c>
      <c r="D104">
        <f>按提示输入属性!D46</f>
        <v>3</v>
      </c>
      <c r="E104" t="e">
        <f>按提示输入属性!#REF!</f>
        <v>#REF!</v>
      </c>
      <c r="F104">
        <f>按提示输入属性!D47</f>
        <v>4</v>
      </c>
      <c r="G104">
        <f>按提示输入属性!D48</f>
        <v>4</v>
      </c>
      <c r="H104">
        <f>按提示输入属性!D49</f>
        <v>10</v>
      </c>
    </row>
    <row r="105" spans="2:8">
      <c r="B105" t="s">
        <v>370</v>
      </c>
      <c r="C105" t="b">
        <f>IF(COUNTIF(按提示输入属性!D43,B105)&gt;0,TRUE,FALSE)</f>
        <v>0</v>
      </c>
      <c r="D105">
        <f>2+G129*1</f>
        <v>2</v>
      </c>
      <c r="F105">
        <v>5</v>
      </c>
      <c r="G105">
        <v>4</v>
      </c>
      <c r="H105">
        <v>11</v>
      </c>
    </row>
    <row r="106" spans="2:8">
      <c r="B106" t="s">
        <v>371</v>
      </c>
      <c r="C106" t="b">
        <f>IF(COUNTIF(按提示输入属性!D43,B106)&gt;0,TRUE,FALSE)</f>
        <v>0</v>
      </c>
      <c r="D106">
        <f>3+G129*1</f>
        <v>3</v>
      </c>
      <c r="F106">
        <v>4</v>
      </c>
      <c r="G106">
        <v>4</v>
      </c>
      <c r="H106">
        <v>11</v>
      </c>
    </row>
    <row r="107" spans="2:8">
      <c r="B107" t="s">
        <v>372</v>
      </c>
      <c r="C107" t="b">
        <f>IF(COUNTIF(按提示输入属性!D43,B107)&gt;0,TRUE,FALSE)</f>
        <v>0</v>
      </c>
      <c r="D107">
        <f>5+G129*1</f>
        <v>5</v>
      </c>
      <c r="F107">
        <v>2</v>
      </c>
      <c r="G107">
        <v>4</v>
      </c>
      <c r="H107">
        <v>11</v>
      </c>
    </row>
    <row r="108" spans="4:8">
      <c r="D108">
        <f>SUMIFS(D103:D107,D103:D107,"&gt;0",$C$103:$C$107,TRUE)</f>
        <v>0</v>
      </c>
      <c r="E108">
        <f>SUMIFS(E103:E107,E103:E107,"&gt;0",$C$103:$C$107,TRUE)</f>
        <v>0</v>
      </c>
      <c r="F108">
        <f>SUMIFS(F103:F107,F103:F107,"&gt;0",$C$103:$C$107,TRUE)</f>
        <v>0</v>
      </c>
      <c r="G108">
        <f>SUMIFS(G103:G107,G103:G107,"&gt;0",$C$103:$C$107,TRUE)</f>
        <v>0</v>
      </c>
      <c r="H108">
        <f>SUMIFS(H103:H107,H103:H107,"&gt;0",$C$103:$C$107,TRUE)</f>
        <v>0</v>
      </c>
    </row>
    <row r="109" spans="4:8">
      <c r="D109" t="s">
        <v>373</v>
      </c>
      <c r="E109" t="s">
        <v>374</v>
      </c>
      <c r="F109" t="s">
        <v>375</v>
      </c>
      <c r="G109" t="s">
        <v>365</v>
      </c>
      <c r="H109" t="s">
        <v>376</v>
      </c>
    </row>
    <row r="111" ht="16.5" spans="4:8">
      <c r="D111" s="96"/>
      <c r="E111" s="96"/>
      <c r="F111" s="96"/>
      <c r="G111" s="97"/>
      <c r="H111" s="97"/>
    </row>
    <row r="112" spans="1:8">
      <c r="A112" t="s">
        <v>368</v>
      </c>
      <c r="B112" t="s">
        <v>82</v>
      </c>
      <c r="C112" t="b">
        <f>IF(COUNTIF(按提示输入属性!D43,B112)&gt;0,TRUE,FALSE)</f>
        <v>1</v>
      </c>
      <c r="D112" s="20">
        <v>1</v>
      </c>
      <c r="E112" s="20"/>
      <c r="F112" s="20"/>
      <c r="G112" s="20"/>
      <c r="H112" s="20"/>
    </row>
    <row r="113" spans="2:8">
      <c r="B113" t="s">
        <v>369</v>
      </c>
      <c r="C113" t="b">
        <f>IF(COUNTIF(按提示输入属性!D43,B113)&gt;0,TRUE,FALSE)</f>
        <v>0</v>
      </c>
      <c r="D113" s="20"/>
      <c r="E113" s="20">
        <v>1</v>
      </c>
      <c r="F113" s="20"/>
      <c r="G113" s="20"/>
      <c r="H113" s="20"/>
    </row>
    <row r="114" spans="2:8">
      <c r="B114" t="s">
        <v>370</v>
      </c>
      <c r="C114" t="b">
        <f>IF(COUNTIF(按提示输入属性!D43,B114)&gt;0,TRUE,FALSE)</f>
        <v>0</v>
      </c>
      <c r="D114" s="20"/>
      <c r="E114" s="20"/>
      <c r="F114" s="20">
        <v>1</v>
      </c>
      <c r="G114" s="20"/>
      <c r="H114" s="20"/>
    </row>
    <row r="115" spans="2:8">
      <c r="B115" t="s">
        <v>371</v>
      </c>
      <c r="C115" t="b">
        <f>IF(COUNTIF(按提示输入属性!D43,B115)&gt;0,TRUE,FALSE)</f>
        <v>0</v>
      </c>
      <c r="D115" s="20"/>
      <c r="E115" s="20"/>
      <c r="F115" s="20"/>
      <c r="G115" s="20">
        <v>1</v>
      </c>
      <c r="H115" s="20"/>
    </row>
    <row r="116" spans="2:8">
      <c r="B116" t="s">
        <v>372</v>
      </c>
      <c r="C116" t="b">
        <f>IF(COUNTIF(按提示输入属性!D43,B116)&gt;0,TRUE,FALSE)</f>
        <v>0</v>
      </c>
      <c r="D116" s="20"/>
      <c r="E116" s="20"/>
      <c r="F116" s="20"/>
      <c r="G116" s="20"/>
      <c r="H116" s="20">
        <v>1</v>
      </c>
    </row>
    <row r="117" spans="4:8">
      <c r="D117" s="20">
        <f>SUMIFS(D112:D116,D112:D116,"&gt;0",$C$112:$C$116,TRUE)</f>
        <v>1</v>
      </c>
      <c r="E117" s="20">
        <f>SUMIFS(E112:E116,E112:E116,"&gt;0",$C$112:$C$116,TRUE)</f>
        <v>0</v>
      </c>
      <c r="F117" s="20">
        <f>SUMIFS(F112:F116,F112:F116,"&gt;0",$C$112:$C$116,TRUE)</f>
        <v>0</v>
      </c>
      <c r="G117" s="20">
        <f>SUMIFS(G112:G116,G112:G116,"&gt;0",$C$112:$C$116,TRUE)</f>
        <v>0</v>
      </c>
      <c r="H117" s="20">
        <f>SUMIFS(H112:H116,H112:H116,"&gt;0",$C$112:$C$116,TRUE)</f>
        <v>0</v>
      </c>
    </row>
    <row r="118" spans="4:8">
      <c r="D118" s="20"/>
      <c r="E118" s="20"/>
      <c r="F118" s="20"/>
      <c r="G118" s="20"/>
      <c r="H118" s="20"/>
    </row>
    <row r="120" spans="1:4">
      <c r="A120" t="s">
        <v>377</v>
      </c>
      <c r="B120" t="s">
        <v>5</v>
      </c>
      <c r="C120" t="b">
        <f>IF(COUNTIF(按提示输入属性!D5,B120)&gt;0,TRUE,FALSE)</f>
        <v>1</v>
      </c>
      <c r="D120">
        <v>1</v>
      </c>
    </row>
    <row r="121" spans="2:5">
      <c r="B121" t="s">
        <v>378</v>
      </c>
      <c r="C121" t="b">
        <f>IF(COUNTIF(按提示输入属性!D5,B121)&gt;0,TRUE,FALSE)</f>
        <v>0</v>
      </c>
      <c r="E121">
        <v>1</v>
      </c>
    </row>
    <row r="122" spans="4:5">
      <c r="D122">
        <f>SUMIFS(D120:D121,D120:D121,"&gt;0",$C$120:$C$121,TRUE)</f>
        <v>1</v>
      </c>
      <c r="E122">
        <f>SUMIFS(E120:E121,E120:E121,"&gt;0",$C$120:$C$121,TRUE)</f>
        <v>0</v>
      </c>
    </row>
    <row r="124" spans="1:4">
      <c r="A124" t="s">
        <v>379</v>
      </c>
      <c r="B124" t="s">
        <v>184</v>
      </c>
      <c r="C124" t="b">
        <f>IF(COUNTIF(按提示输入属性!Q17,B124)&gt;0,TRUE,FALSE)</f>
        <v>0</v>
      </c>
      <c r="D124">
        <v>1</v>
      </c>
    </row>
    <row r="125" spans="2:8">
      <c r="B125" t="s">
        <v>380</v>
      </c>
      <c r="C125" t="b">
        <f>IF(COUNTIF(按提示输入属性!Q17,B125)&gt;0,TRUE,FALSE)</f>
        <v>0</v>
      </c>
      <c r="H125">
        <v>1</v>
      </c>
    </row>
    <row r="126" spans="2:5">
      <c r="B126" t="s">
        <v>50</v>
      </c>
      <c r="C126" t="b">
        <f>IF(COUNTIF(按提示输入属性!Q17,B126)&gt;0,TRUE,FALSE)</f>
        <v>1</v>
      </c>
      <c r="E126">
        <v>1</v>
      </c>
    </row>
    <row r="127" spans="2:6">
      <c r="B127" t="s">
        <v>381</v>
      </c>
      <c r="C127" t="b">
        <f>IF(COUNTIF(按提示输入属性!Q17,B127)&gt;0,TRUE,FALSE)</f>
        <v>0</v>
      </c>
      <c r="F127">
        <v>1</v>
      </c>
    </row>
    <row r="128" spans="2:7">
      <c r="B128" t="s">
        <v>382</v>
      </c>
      <c r="C128" t="b">
        <f>IF(COUNTIF(按提示输入属性!Q17,B128)&gt;0,TRUE,FALSE)</f>
        <v>0</v>
      </c>
      <c r="G128">
        <v>1</v>
      </c>
    </row>
    <row r="129" spans="4:8">
      <c r="D129">
        <f>SUMIFS(D124:D128,D124:D128,"&gt;0",$C$124:$C$128,TRUE)</f>
        <v>0</v>
      </c>
      <c r="E129">
        <f>SUMIFS(E125:E128,E125:E128,"&gt;0",$C$125:$C$128,TRUE)</f>
        <v>1</v>
      </c>
      <c r="F129">
        <f>SUMIFS(F125:F128,F125:F128,"&gt;0",$C$125:$C$128,TRUE)</f>
        <v>0</v>
      </c>
      <c r="G129">
        <f>SUMIFS(G125:G128,G125:G128,"&gt;0",$C$125:$C$128,TRUE)</f>
        <v>0</v>
      </c>
      <c r="H129">
        <f>SUMIFS(H125:H128,H125:H128,"&gt;0",$C$125:$C$128,TRUE)</f>
        <v>0</v>
      </c>
    </row>
    <row r="131" spans="4:6">
      <c r="D131" t="s">
        <v>383</v>
      </c>
      <c r="E131" t="s">
        <v>384</v>
      </c>
      <c r="F131" t="s">
        <v>385</v>
      </c>
    </row>
    <row r="132" spans="4:6">
      <c r="D132">
        <f>IF(按提示输入属性!S17=1,D133,0)+IF(按提示输入属性!S17=2,D134,0)+IF(按提示输入属性!S17=3,D135,0)</f>
        <v>0</v>
      </c>
      <c r="E132">
        <f>IF(按提示输入属性!S17=1,E133,0)+IF(按提示输入属性!S17=2,E134,0)+IF(按提示输入属性!S17=3,E135,0)</f>
        <v>0</v>
      </c>
      <c r="F132">
        <f>IF(按提示输入属性!S17=1,F133,0)+IF(按提示输入属性!S17=2,F134,0)+IF(按提示输入属性!S17=3,F135,0)</f>
        <v>0</v>
      </c>
    </row>
    <row r="133" spans="2:6">
      <c r="B133" t="s">
        <v>386</v>
      </c>
      <c r="D133">
        <v>505</v>
      </c>
      <c r="E133">
        <v>44</v>
      </c>
      <c r="F133">
        <v>65</v>
      </c>
    </row>
    <row r="134" spans="2:6">
      <c r="B134" t="s">
        <v>381</v>
      </c>
      <c r="D134">
        <v>415</v>
      </c>
      <c r="E134">
        <v>40</v>
      </c>
      <c r="F134">
        <v>54</v>
      </c>
    </row>
    <row r="135" spans="2:6">
      <c r="B135" t="s">
        <v>382</v>
      </c>
      <c r="D135">
        <v>385</v>
      </c>
      <c r="E135">
        <v>45</v>
      </c>
      <c r="F135">
        <v>56</v>
      </c>
    </row>
    <row r="136" spans="2:6">
      <c r="B136" t="s">
        <v>387</v>
      </c>
      <c r="D136">
        <f>按提示输入属性!P20*H129</f>
        <v>0</v>
      </c>
      <c r="E136">
        <f>按提示输入属性!P21*H129</f>
        <v>0</v>
      </c>
      <c r="F136">
        <f>按提示输入属性!P24*H129</f>
        <v>0</v>
      </c>
    </row>
    <row r="137" spans="4:6">
      <c r="D137">
        <f>D132*D129+D133*E129+D134*F129+D135*G129+D136</f>
        <v>505</v>
      </c>
      <c r="E137">
        <f>E132*D129+E133*E129+E134*F129+E135*G129+E136</f>
        <v>44</v>
      </c>
      <c r="F137">
        <f>F132*D129+F133*E129+F134*F129+F135*G129+F136</f>
        <v>65</v>
      </c>
    </row>
    <row r="139" spans="4:6">
      <c r="D139">
        <f>IF(按提示输入属性!S17=1,D133,0)+IF(按提示输入属性!S17=2,D134,0)+IF(按提示输入属性!S17=3,D135,0)</f>
        <v>0</v>
      </c>
      <c r="E139">
        <f>IF(按提示输入属性!S17=1,E133,0)+IF(按提示输入属性!S17=2,E134,0)+IF(按提示输入属性!S17=3,E135,0)</f>
        <v>0</v>
      </c>
      <c r="F139">
        <f>IF(按提示输入属性!S17=1,F133,0)+IF(按提示输入属性!S17=2,F134,0)+IF(按提示输入属性!S17=3,F135,0)</f>
        <v>0</v>
      </c>
    </row>
    <row r="142" spans="2:5">
      <c r="B142" s="8" t="s">
        <v>388</v>
      </c>
      <c r="C142" s="8" t="b">
        <f>IF(COUNTIF(按提示输入属性!D56,B142)&gt;0,TRUE,FALSE)</f>
        <v>0</v>
      </c>
      <c r="D142" s="8"/>
      <c r="E142" s="8"/>
    </row>
    <row r="143" spans="2:5">
      <c r="B143" s="8" t="s">
        <v>389</v>
      </c>
      <c r="C143" s="8" t="b">
        <f>IF(COUNTIF(按提示输入属性!D56,B143)&gt;0,TRUE,FALSE)</f>
        <v>0</v>
      </c>
      <c r="D143" s="8">
        <v>1</v>
      </c>
      <c r="E143" s="8"/>
    </row>
    <row r="144" spans="2:5">
      <c r="B144" s="8" t="s">
        <v>100</v>
      </c>
      <c r="C144" s="8" t="b">
        <f>IF(COUNTIF(按提示输入属性!D56,B144)&gt;0,TRUE,FALSE)</f>
        <v>1</v>
      </c>
      <c r="D144" s="8"/>
      <c r="E144" s="8">
        <v>1</v>
      </c>
    </row>
    <row r="145" spans="2:5">
      <c r="B145" s="8"/>
      <c r="C145" s="8"/>
      <c r="D145" s="8">
        <f>SUMIFS(D142:D144,D142:D144,"&gt;0",$C$142:$C$144,TRUE)</f>
        <v>0</v>
      </c>
      <c r="E145" s="8">
        <f>SUMIFS(E142:E144,E142:E144,"&gt;0",$C$142:$C$144,TRUE)</f>
        <v>1</v>
      </c>
    </row>
    <row r="146" spans="2:3">
      <c r="B146" t="s">
        <v>388</v>
      </c>
      <c r="C146" t="b">
        <f>IF(COUNTIF(按提示输入属性!D57,B146)&gt;0,TRUE,FALSE)</f>
        <v>0</v>
      </c>
    </row>
    <row r="147" spans="2:4">
      <c r="B147" t="s">
        <v>390</v>
      </c>
      <c r="C147" t="b">
        <f>IF(COUNTIF(按提示输入属性!D57,B147)&gt;0,TRUE,FALSE)</f>
        <v>0</v>
      </c>
      <c r="D147">
        <v>1</v>
      </c>
    </row>
    <row r="148" spans="2:5">
      <c r="B148" t="s">
        <v>102</v>
      </c>
      <c r="C148" t="b">
        <f>IF(COUNTIF(按提示输入属性!D57,B148)&gt;0,TRUE,FALSE)</f>
        <v>1</v>
      </c>
      <c r="E148">
        <v>1</v>
      </c>
    </row>
    <row r="149" spans="4:5">
      <c r="D149">
        <f>SUMIFS(D146:D148,D146:D148,"&gt;0",$C$146:$C$148,TRUE)</f>
        <v>0</v>
      </c>
      <c r="E149">
        <f>SUMIFS(E146:E148,E146:E148,"&gt;0",$C$146:$C$148,TRUE)</f>
        <v>1</v>
      </c>
    </row>
    <row r="150" spans="2:5">
      <c r="B150" s="8" t="s">
        <v>388</v>
      </c>
      <c r="C150" s="8" t="b">
        <f>IF(COUNTIF(按提示输入属性!D59,B150)&gt;0,TRUE,FALSE)</f>
        <v>0</v>
      </c>
      <c r="D150" s="8">
        <f>IF(按提示输入属性!H59=1,0,0)+IF(按提示输入属性!H59=2,1,0)</f>
        <v>0</v>
      </c>
      <c r="E150" s="8">
        <f>IF(按提示输入属性!H59=1,1,0)+IF(按提示输入属性!H59=2,0,0)</f>
        <v>0</v>
      </c>
    </row>
    <row r="151" spans="2:5">
      <c r="B151" s="8" t="s">
        <v>391</v>
      </c>
      <c r="C151" s="8" t="b">
        <f>IF(COUNTIF(按提示输入属性!D59,B151)&gt;0,TRUE,FALSE)</f>
        <v>0</v>
      </c>
      <c r="D151" s="8">
        <v>1</v>
      </c>
      <c r="E151" s="8"/>
    </row>
    <row r="152" spans="2:5">
      <c r="B152" s="8" t="s">
        <v>106</v>
      </c>
      <c r="C152" s="8" t="b">
        <f>IF(COUNTIF(按提示输入属性!D59,B152)&gt;0,TRUE,FALSE)</f>
        <v>1</v>
      </c>
      <c r="D152" s="8"/>
      <c r="E152" s="8">
        <v>1</v>
      </c>
    </row>
    <row r="153" spans="2:5">
      <c r="B153" s="8"/>
      <c r="C153" s="8"/>
      <c r="D153" s="8">
        <f>SUMIFS(D150:D152,D150:D152,"&gt;0",$C$150:$C$152,TRUE)</f>
        <v>0</v>
      </c>
      <c r="E153" s="8">
        <f>SUMIFS(E150:E152,E150:E152,"&gt;0",$C$150:$C$152,TRUE)</f>
        <v>1</v>
      </c>
    </row>
    <row r="154" spans="2:5">
      <c r="B154" t="s">
        <v>388</v>
      </c>
      <c r="C154" t="b">
        <f>IF(COUNTIF(按提示输入属性!D60,B154)&gt;0,TRUE,FALSE)</f>
        <v>0</v>
      </c>
      <c r="D154">
        <f>IF(按提示输入属性!H60=1,0,0)+IF(按提示输入属性!H60=2,1,0)</f>
        <v>0</v>
      </c>
      <c r="E154">
        <f>IF(按提示输入属性!H60=1,1,0)+IF(按提示输入属性!H60=2,0,0)</f>
        <v>0</v>
      </c>
    </row>
    <row r="155" spans="2:4">
      <c r="B155" t="s">
        <v>392</v>
      </c>
      <c r="C155" t="b">
        <f>IF(COUNTIF(按提示输入属性!D60,B155)&gt;0,TRUE,FALSE)</f>
        <v>0</v>
      </c>
      <c r="D155">
        <v>1</v>
      </c>
    </row>
    <row r="156" spans="2:5">
      <c r="B156" t="s">
        <v>108</v>
      </c>
      <c r="C156" t="b">
        <f>IF(COUNTIF(按提示输入属性!D60,B156)&gt;0,TRUE,FALSE)</f>
        <v>1</v>
      </c>
      <c r="E156">
        <v>1</v>
      </c>
    </row>
    <row r="157" spans="4:5">
      <c r="D157">
        <f>SUMIFS(D154:D156,D154:D156,"&gt;0",$C$154:$C$156,TRUE)</f>
        <v>0</v>
      </c>
      <c r="E157">
        <f>SUMIFS(E154:E156,E154:E156,"&gt;0",$C$154:$C$156,TRUE)</f>
        <v>1</v>
      </c>
    </row>
    <row r="158" spans="2:5">
      <c r="B158" s="8" t="s">
        <v>388</v>
      </c>
      <c r="C158" s="8" t="b">
        <f>IF(COUNTIF(按提示输入属性!D61,B158)&gt;0,TRUE,FALSE)</f>
        <v>0</v>
      </c>
      <c r="D158" s="8">
        <f>IF(按提示输入属性!H61=1,0,0)+IF(按提示输入属性!H61=2,1,0)</f>
        <v>0</v>
      </c>
      <c r="E158" s="8">
        <f>IF(按提示输入属性!H61=1,1,0)+IF(按提示输入属性!H61=2,0,0)</f>
        <v>0</v>
      </c>
    </row>
    <row r="159" spans="2:5">
      <c r="B159" s="8" t="s">
        <v>393</v>
      </c>
      <c r="C159" s="8" t="b">
        <f>IF(COUNTIF(按提示输入属性!D61,B159)&gt;0,TRUE,FALSE)</f>
        <v>0</v>
      </c>
      <c r="D159" s="8">
        <v>1</v>
      </c>
      <c r="E159" s="8"/>
    </row>
    <row r="160" spans="2:5">
      <c r="B160" s="8" t="s">
        <v>109</v>
      </c>
      <c r="C160" s="8" t="b">
        <f>IF(COUNTIF(按提示输入属性!D61,B160)&gt;0,TRUE,FALSE)</f>
        <v>1</v>
      </c>
      <c r="D160" s="8"/>
      <c r="E160" s="8">
        <v>1</v>
      </c>
    </row>
    <row r="161" spans="2:5">
      <c r="B161" s="8"/>
      <c r="C161" s="8"/>
      <c r="D161" s="8">
        <f>SUMIFS(D158:D160,D158:D160,"&gt;0",$C$158:$C$160,TRUE)</f>
        <v>0</v>
      </c>
      <c r="E161" s="8">
        <f>SUMIFS(E158:E160,E158:E160,"&gt;0",$C$158:$C$160,TRUE)</f>
        <v>1</v>
      </c>
    </row>
    <row r="162" spans="2:5">
      <c r="B162" t="s">
        <v>388</v>
      </c>
      <c r="C162" t="b">
        <f>IF(COUNTIF(按提示输入属性!D62,B162)&gt;0,TRUE,FALSE)</f>
        <v>0</v>
      </c>
      <c r="D162">
        <f>IF(按提示输入属性!H62=1,0,0)+IF(按提示输入属性!H62=2,1,0)</f>
        <v>0</v>
      </c>
      <c r="E162">
        <f>IF(按提示输入属性!H62=1,1,0)+IF(按提示输入属性!H62=2,0,0)</f>
        <v>0</v>
      </c>
    </row>
    <row r="163" spans="2:4">
      <c r="B163" t="s">
        <v>394</v>
      </c>
      <c r="C163" t="b">
        <f>IF(COUNTIF(按提示输入属性!D62,B163)&gt;0,TRUE,FALSE)</f>
        <v>0</v>
      </c>
      <c r="D163">
        <v>1</v>
      </c>
    </row>
    <row r="164" spans="2:5">
      <c r="B164" t="s">
        <v>111</v>
      </c>
      <c r="C164" t="b">
        <f>IF(COUNTIF(按提示输入属性!D62,B164)&gt;0,TRUE,FALSE)</f>
        <v>1</v>
      </c>
      <c r="E164">
        <v>1</v>
      </c>
    </row>
    <row r="165" spans="4:5">
      <c r="D165">
        <f>SUMIFS(D162:D164,D162:D164,"&gt;0",$C$162:$C$164,TRUE)</f>
        <v>0</v>
      </c>
      <c r="E165">
        <f>SUMIFS(E162:E164,E162:E164,"&gt;0",$C$162:$C$164,TRUE)</f>
        <v>1</v>
      </c>
    </row>
    <row r="166" spans="2:5">
      <c r="B166" s="8" t="s">
        <v>388</v>
      </c>
      <c r="C166" s="8" t="b">
        <f>IF(COUNTIF(按提示输入属性!D58,B166)&gt;0,TRUE,FALSE)</f>
        <v>0</v>
      </c>
      <c r="D166" s="8">
        <f>按提示输入属性!H58</f>
        <v>0</v>
      </c>
      <c r="E166" s="8"/>
    </row>
    <row r="167" spans="2:5">
      <c r="B167" s="8" t="s">
        <v>104</v>
      </c>
      <c r="C167" s="8" t="b">
        <f>IF(COUNTIF(按提示输入属性!D58,B167)&gt;0,TRUE,FALSE)</f>
        <v>1</v>
      </c>
      <c r="D167" s="8">
        <v>1</v>
      </c>
      <c r="E167" s="8"/>
    </row>
    <row r="168" spans="2:5">
      <c r="B168" s="8"/>
      <c r="C168" s="8"/>
      <c r="D168" s="8">
        <f>SUMIFS(D166:D167,D166:D167,"&gt;0",$C$166:$C$167,TRUE)</f>
        <v>1</v>
      </c>
      <c r="E168" s="8"/>
    </row>
  </sheetData>
  <mergeCells count="3">
    <mergeCell ref="M1:N1"/>
    <mergeCell ref="A62:A73"/>
    <mergeCell ref="A76:A100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B55" sqref="B55"/>
    </sheetView>
  </sheetViews>
  <sheetFormatPr defaultColWidth="9.64166666666667" defaultRowHeight="13.5" outlineLevelCol="5"/>
  <cols>
    <col min="1" max="1" width="18.5" customWidth="1"/>
    <col min="2" max="2" width="21.625" customWidth="1"/>
    <col min="6" max="6" width="12.625"/>
  </cols>
  <sheetData>
    <row r="1" ht="23.25" spans="1:4">
      <c r="A1" s="73" t="s">
        <v>13</v>
      </c>
      <c r="B1" s="74" t="s">
        <v>14</v>
      </c>
      <c r="C1" s="75" t="s">
        <v>15</v>
      </c>
      <c r="D1" s="76"/>
    </row>
    <row r="2" ht="17.25" spans="1:6">
      <c r="A2" s="77" t="s">
        <v>20</v>
      </c>
      <c r="B2" s="78">
        <f>INT(((按提示输入属性!D24*额外增益统计!D122+装备源表!K333*额外增益统计!E122+(1170*装备源表!AN332+1050*装备源表!AN330)*额外增益统计!E122+(1170*额外增益统计!E161+1340*额外增益统计!D161)*额外增益统计!D122)+额外增益统计!N2)*额外增益统计!N7)</f>
        <v>34400</v>
      </c>
      <c r="C2" s="79" t="s">
        <v>63</v>
      </c>
      <c r="D2" s="80"/>
      <c r="F2">
        <f>B2-(1170*装备源表!AN332+1050*装备源表!AN330)*额外增益统计!E122</f>
        <v>34400</v>
      </c>
    </row>
    <row r="3" ht="17.25" spans="1:6">
      <c r="A3" s="77" t="s">
        <v>25</v>
      </c>
      <c r="B3" s="78">
        <f>INT((按提示输入属性!D25*额外增益统计!D122+装备源表!M333*额外增益统计!E122+(1170*装备源表!AN332+1050*装备源表!AN330)*额外增益统计!E122+(1170*额外增益统计!E161+1340*额外增益统计!D161)*额外增益统计!D122)+额外增益统计!N3+INT((额外增益统计!N7-1)*按提示输入属性!D24))</f>
        <v>45792</v>
      </c>
      <c r="C3" s="79"/>
      <c r="D3" s="80"/>
      <c r="F3">
        <f>B3-(1170*装备源表!AN332+1050*装备源表!AN330)*额外增益统计!E122</f>
        <v>45792</v>
      </c>
    </row>
    <row r="4" ht="17.25" spans="1:6">
      <c r="A4" s="77" t="s">
        <v>28</v>
      </c>
      <c r="B4" s="81">
        <f>MIN(1,按提示输入属性!D26*额外增益统计!D122+装备源表!O333*额外增益统计!E122+(4%*按提示输入属性!D55*额外增益统计!D122)+((装备源表!AM330+装备源表!AL332)*额外增益统计!E122)+额外增益统计!N4+10%*按提示输入属性!D66+5%*按提示输入属性!D67)</f>
        <v>0.4994</v>
      </c>
      <c r="C4" s="79"/>
      <c r="D4" s="80"/>
      <c r="F4" s="22">
        <f>B4-10%*按提示输入属性!D66-5%*按提示输入属性!D67-((装备源表!AL332+装备源表!AM330)*额外增益统计!E122)-(4%*按提示输入属性!D55*额外增益统计!D122)*额外增益统计!D122</f>
        <v>0.3594</v>
      </c>
    </row>
    <row r="5" ht="17.25" spans="1:6">
      <c r="A5" s="77" t="s">
        <v>32</v>
      </c>
      <c r="B5" s="81">
        <f>按提示输入属性!D27*额外增益统计!D122+装备源表!Q333*额外增益统计!E122+(4%*按提示输入属性!D55*额外增益统计!D122)+((装备源表!AM330+装备源表!AL332)*额外增益统计!E122)+额外增益统计!N8+0.1993*按提示输入属性!D66+0.0996*按提示输入属性!D67</f>
        <v>2.0895</v>
      </c>
      <c r="C5" s="79"/>
      <c r="D5" s="80"/>
      <c r="F5" s="22">
        <f>B5-0.1993*按提示输入属性!D66-0.0996*按提示输入属性!D67-((装备源表!AL332+装备源表!AM330)*额外增益统计!E122)-(4%*按提示输入属性!D55*额外增益统计!D122)*额外增益统计!D122</f>
        <v>1.8502</v>
      </c>
    </row>
    <row r="6" ht="17.25" spans="1:6">
      <c r="A6" s="77" t="s">
        <v>35</v>
      </c>
      <c r="B6" s="81">
        <f>(按提示输入属性!D28*额外增益统计!D122+装备源表!S333*额外增益统计!E122)*额外增益统计!N12+额外增益统计!N5</f>
        <v>0.472</v>
      </c>
      <c r="C6" s="79"/>
      <c r="D6" s="80"/>
      <c r="E6" s="22" t="e">
        <f>B6+11.81%*'伤害统计(理想)'!M37+10.59%*'伤害统计(理想)'!M35</f>
        <v>#VALUE!</v>
      </c>
      <c r="F6" s="22">
        <f t="shared" ref="F3:F9" si="0">B6</f>
        <v>0.472</v>
      </c>
    </row>
    <row r="7" ht="17.25" spans="1:6">
      <c r="A7" s="77" t="s">
        <v>38</v>
      </c>
      <c r="B7" s="81">
        <f>按提示输入属性!D29*额外增益统计!D122+装备源表!W333*额外增益统计!E122+额外增益统计!N9</f>
        <v>0.3473</v>
      </c>
      <c r="C7" s="79"/>
      <c r="D7" s="80"/>
      <c r="F7" s="22">
        <f t="shared" si="0"/>
        <v>0.3473</v>
      </c>
    </row>
    <row r="8" ht="17.25" spans="1:6">
      <c r="A8" s="77" t="s">
        <v>42</v>
      </c>
      <c r="B8" s="78">
        <f>按提示输入属性!D30*额外增益统计!D122+装备源表!U333*额外增益统计!E122+额外增益统计!N6</f>
        <v>21804</v>
      </c>
      <c r="C8" s="79"/>
      <c r="D8" s="80"/>
      <c r="F8">
        <f t="shared" si="0"/>
        <v>21804</v>
      </c>
    </row>
    <row r="9" ht="17.25" spans="1:6">
      <c r="A9" s="77" t="s">
        <v>66</v>
      </c>
      <c r="B9" s="78">
        <f>(按提示输入属性!D31-按提示输入属性!D34*2)</f>
        <v>300</v>
      </c>
      <c r="C9" s="79"/>
      <c r="D9" s="80"/>
      <c r="F9">
        <f t="shared" si="0"/>
        <v>300</v>
      </c>
    </row>
    <row r="10" ht="16.5" spans="1:4">
      <c r="A10" s="82" t="s">
        <v>2</v>
      </c>
      <c r="B10" s="83">
        <f>INT('伤害统计(理想)'!I101/(B9*100%)*额外增益统计!N10)</f>
        <v>726176</v>
      </c>
      <c r="C10" s="84" t="s">
        <v>395</v>
      </c>
      <c r="D10" s="84"/>
    </row>
    <row r="11" ht="17.25" spans="1:4">
      <c r="A11" s="85" t="s">
        <v>396</v>
      </c>
      <c r="B11" s="83">
        <f>INT(('伤害统计(脸黑)'!I100)/(B9*100%)*额外增益统计!N10)</f>
        <v>700658</v>
      </c>
      <c r="C11" s="86"/>
      <c r="D11" s="86"/>
    </row>
    <row r="12" ht="17.25" spans="1:4">
      <c r="A12" s="77" t="s">
        <v>74</v>
      </c>
      <c r="B12" s="87">
        <f>按提示输入属性!D36</f>
        <v>7</v>
      </c>
      <c r="C12" s="88" t="s">
        <v>397</v>
      </c>
      <c r="D12" s="84"/>
    </row>
    <row r="13" ht="17.25" spans="1:4">
      <c r="A13" s="77" t="s">
        <v>398</v>
      </c>
      <c r="B13" s="87">
        <f>按提示输入属性!D37</f>
        <v>0</v>
      </c>
      <c r="C13" s="89"/>
      <c r="D13" s="89"/>
    </row>
    <row r="14" ht="17.25" spans="1:2">
      <c r="A14" s="77" t="s">
        <v>96</v>
      </c>
      <c r="B14" s="87">
        <f>按提示输入属性!D54</f>
        <v>1</v>
      </c>
    </row>
    <row r="15" ht="17.25" spans="1:2">
      <c r="A15" s="77" t="s">
        <v>97</v>
      </c>
      <c r="B15" s="87">
        <f>按提示输入属性!D55</f>
        <v>1</v>
      </c>
    </row>
    <row r="16" ht="17.25" spans="1:2">
      <c r="A16" s="77" t="s">
        <v>103</v>
      </c>
      <c r="B16" s="87" t="str">
        <f>按提示输入属性!D58</f>
        <v>全等级腰带大附魔</v>
      </c>
    </row>
    <row r="17" ht="17.25" spans="1:2">
      <c r="A17" s="77" t="s">
        <v>105</v>
      </c>
      <c r="B17" s="87">
        <f>额外增益统计!D153+额外增益统计!E153</f>
        <v>1</v>
      </c>
    </row>
    <row r="18" ht="17.25" spans="1:2">
      <c r="A18" s="77" t="s">
        <v>107</v>
      </c>
      <c r="B18" s="87">
        <f>额外增益统计!D157+额外增益统计!E157</f>
        <v>1</v>
      </c>
    </row>
    <row r="19" ht="17.25" spans="1:2">
      <c r="A19" s="77" t="s">
        <v>399</v>
      </c>
      <c r="B19" s="87">
        <f>INT(B9/45)</f>
        <v>6</v>
      </c>
    </row>
    <row r="20" ht="17.25" spans="1:2">
      <c r="A20" s="77" t="s">
        <v>400</v>
      </c>
      <c r="B20" s="87">
        <f>ROUNDUP(B9/180,0)*(装备源表!AO332+装备源表!AO330)*额外增益统计!E122+ROUNDUP(B9/180,0)*(额外增益统计!D165+额外增益统计!E165)*额外增益统计!D122</f>
        <v>2</v>
      </c>
    </row>
  </sheetData>
  <mergeCells count="4">
    <mergeCell ref="C1:D1"/>
    <mergeCell ref="C10:D10"/>
    <mergeCell ref="C12:D12"/>
    <mergeCell ref="C2:D9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34"/>
  <sheetViews>
    <sheetView workbookViewId="0">
      <pane xSplit="3" ySplit="2" topLeftCell="D304" activePane="bottomRight" state="frozen"/>
      <selection/>
      <selection pane="topRight"/>
      <selection pane="bottomLeft"/>
      <selection pane="bottomRight" activeCell="B55" sqref="B55"/>
    </sheetView>
  </sheetViews>
  <sheetFormatPr defaultColWidth="9.64166666666667" defaultRowHeight="16.5"/>
  <cols>
    <col min="1" max="1" width="7.44166666666667" style="59" customWidth="1"/>
    <col min="2" max="2" width="18" style="59" customWidth="1"/>
    <col min="3" max="3" width="11.2166666666667" style="59" customWidth="1"/>
    <col min="4" max="4" width="8.875" style="59" customWidth="1"/>
    <col min="5" max="6" width="34.2166666666667" style="59" customWidth="1"/>
    <col min="7" max="7" width="8" style="59" customWidth="1"/>
    <col min="8" max="11" width="7.44166666666667" style="59" customWidth="1"/>
    <col min="12" max="12" width="8.875" style="59" customWidth="1"/>
    <col min="13" max="25" width="7.44166666666667" style="59" customWidth="1"/>
    <col min="26" max="26" width="11.2166666666667" style="59" customWidth="1"/>
    <col min="27" max="27" width="12.2166666666667" style="59" customWidth="1"/>
    <col min="28" max="39" width="9.44166666666667" style="59"/>
    <col min="40" max="42" width="13.2166666666667" style="59" customWidth="1"/>
    <col min="43" max="43" width="17.4416666666667" style="59" customWidth="1"/>
    <col min="44" max="16384" width="9.44166666666667" style="59"/>
  </cols>
  <sheetData>
    <row r="1" ht="20.15" customHeight="1" spans="1:52">
      <c r="A1" s="60" t="s">
        <v>401</v>
      </c>
      <c r="B1" s="60" t="s">
        <v>402</v>
      </c>
      <c r="C1" s="60" t="s">
        <v>403</v>
      </c>
      <c r="D1" s="60" t="s">
        <v>404</v>
      </c>
      <c r="E1" s="60" t="s">
        <v>405</v>
      </c>
      <c r="F1" s="60"/>
      <c r="G1" s="60" t="s">
        <v>406</v>
      </c>
      <c r="H1" s="60" t="s">
        <v>407</v>
      </c>
      <c r="I1" s="60" t="s">
        <v>408</v>
      </c>
      <c r="J1" s="60" t="s">
        <v>409</v>
      </c>
      <c r="K1" s="60" t="s">
        <v>279</v>
      </c>
      <c r="L1" s="60" t="s">
        <v>410</v>
      </c>
      <c r="M1" s="60" t="s">
        <v>411</v>
      </c>
      <c r="N1" s="60" t="s">
        <v>412</v>
      </c>
      <c r="O1" s="60" t="s">
        <v>28</v>
      </c>
      <c r="P1" s="60" t="s">
        <v>413</v>
      </c>
      <c r="Q1" s="60" t="s">
        <v>32</v>
      </c>
      <c r="R1" s="60" t="s">
        <v>414</v>
      </c>
      <c r="S1" s="60" t="s">
        <v>35</v>
      </c>
      <c r="T1" s="60" t="s">
        <v>415</v>
      </c>
      <c r="U1" s="60" t="s">
        <v>42</v>
      </c>
      <c r="V1" s="60" t="s">
        <v>416</v>
      </c>
      <c r="W1" s="60" t="s">
        <v>38</v>
      </c>
      <c r="X1" s="60" t="s">
        <v>417</v>
      </c>
      <c r="Y1" s="60" t="s">
        <v>418</v>
      </c>
      <c r="Z1" s="60" t="s">
        <v>419</v>
      </c>
      <c r="AA1" s="60" t="s">
        <v>420</v>
      </c>
      <c r="AB1" s="60" t="s">
        <v>421</v>
      </c>
      <c r="AC1" s="60" t="s">
        <v>422</v>
      </c>
      <c r="AD1" s="60" t="s">
        <v>423</v>
      </c>
      <c r="AE1" s="60" t="s">
        <v>424</v>
      </c>
      <c r="AF1" s="60" t="s">
        <v>425</v>
      </c>
      <c r="AG1" s="60" t="s">
        <v>426</v>
      </c>
      <c r="AH1" s="60" t="s">
        <v>427</v>
      </c>
      <c r="AI1" s="60" t="s">
        <v>428</v>
      </c>
      <c r="AJ1" s="60" t="s">
        <v>429</v>
      </c>
      <c r="AK1" s="60" t="s">
        <v>430</v>
      </c>
      <c r="AL1" s="60" t="s">
        <v>431</v>
      </c>
      <c r="AM1" s="60" t="s">
        <v>432</v>
      </c>
      <c r="AN1" s="60" t="s">
        <v>433</v>
      </c>
      <c r="AO1" s="60" t="s">
        <v>434</v>
      </c>
      <c r="AP1" s="60" t="s">
        <v>435</v>
      </c>
      <c r="AQ1" s="60" t="s">
        <v>436</v>
      </c>
      <c r="AR1" s="60" t="s">
        <v>437</v>
      </c>
      <c r="AS1" s="60" t="s">
        <v>438</v>
      </c>
      <c r="AT1" s="60" t="s">
        <v>439</v>
      </c>
      <c r="AU1" s="60" t="s">
        <v>440</v>
      </c>
      <c r="AV1" s="60" t="s">
        <v>441</v>
      </c>
      <c r="AW1" s="60" t="s">
        <v>442</v>
      </c>
      <c r="AX1" s="60" t="s">
        <v>443</v>
      </c>
      <c r="AY1" s="60" t="s">
        <v>444</v>
      </c>
      <c r="AZ1" s="60" t="s">
        <v>445</v>
      </c>
    </row>
    <row r="2" s="52" customFormat="1" ht="13.5" spans="1:16384">
      <c r="A2" s="61"/>
      <c r="B2" s="61"/>
      <c r="C2" s="61"/>
      <c r="D2" s="61"/>
      <c r="E2" s="61"/>
      <c r="F2" s="61"/>
      <c r="G2" s="60">
        <v>1.02412</v>
      </c>
      <c r="H2" s="60">
        <v>1.03805</v>
      </c>
      <c r="I2" s="60">
        <v>1.07524</v>
      </c>
      <c r="J2" s="60">
        <v>1.12407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  <c r="IX2" s="61"/>
      <c r="IY2" s="61"/>
      <c r="IZ2" s="61"/>
      <c r="JA2" s="61"/>
      <c r="JB2" s="61"/>
      <c r="JC2" s="61"/>
      <c r="JD2" s="61"/>
      <c r="JE2" s="61"/>
      <c r="JF2" s="61"/>
      <c r="JG2" s="61"/>
      <c r="JH2" s="61"/>
      <c r="JI2" s="61"/>
      <c r="JJ2" s="61"/>
      <c r="JK2" s="61"/>
      <c r="JL2" s="61"/>
      <c r="JM2" s="61"/>
      <c r="JN2" s="61"/>
      <c r="JO2" s="61"/>
      <c r="JP2" s="61"/>
      <c r="JQ2" s="61"/>
      <c r="JR2" s="61"/>
      <c r="JS2" s="61"/>
      <c r="JT2" s="61"/>
      <c r="JU2" s="61"/>
      <c r="JV2" s="61"/>
      <c r="JW2" s="61"/>
      <c r="JX2" s="61"/>
      <c r="JY2" s="61"/>
      <c r="JZ2" s="61"/>
      <c r="KA2" s="61"/>
      <c r="KB2" s="61"/>
      <c r="KC2" s="61"/>
      <c r="KD2" s="61"/>
      <c r="KE2" s="61"/>
      <c r="KF2" s="61"/>
      <c r="KG2" s="61"/>
      <c r="KH2" s="61"/>
      <c r="KI2" s="61"/>
      <c r="KJ2" s="61"/>
      <c r="KK2" s="61"/>
      <c r="KL2" s="61"/>
      <c r="KM2" s="61"/>
      <c r="KN2" s="61"/>
      <c r="KO2" s="61"/>
      <c r="KP2" s="61"/>
      <c r="KQ2" s="61"/>
      <c r="KR2" s="61"/>
      <c r="KS2" s="61"/>
      <c r="KT2" s="61"/>
      <c r="KU2" s="61"/>
      <c r="KV2" s="61"/>
      <c r="KW2" s="61"/>
      <c r="KX2" s="61"/>
      <c r="KY2" s="61"/>
      <c r="KZ2" s="61"/>
      <c r="LA2" s="61"/>
      <c r="LB2" s="61"/>
      <c r="LC2" s="61"/>
      <c r="LD2" s="61"/>
      <c r="LE2" s="61"/>
      <c r="LF2" s="61"/>
      <c r="LG2" s="61"/>
      <c r="LH2" s="61"/>
      <c r="LI2" s="61"/>
      <c r="LJ2" s="61"/>
      <c r="LK2" s="61"/>
      <c r="LL2" s="61"/>
      <c r="LM2" s="61"/>
      <c r="LN2" s="61"/>
      <c r="LO2" s="61"/>
      <c r="LP2" s="61"/>
      <c r="LQ2" s="61"/>
      <c r="LR2" s="61"/>
      <c r="LS2" s="61"/>
      <c r="LT2" s="61"/>
      <c r="LU2" s="61"/>
      <c r="LV2" s="61"/>
      <c r="LW2" s="61"/>
      <c r="LX2" s="61"/>
      <c r="LY2" s="61"/>
      <c r="LZ2" s="61"/>
      <c r="MA2" s="61"/>
      <c r="MB2" s="61"/>
      <c r="MC2" s="61"/>
      <c r="MD2" s="61"/>
      <c r="ME2" s="61"/>
      <c r="MF2" s="61"/>
      <c r="MG2" s="61"/>
      <c r="MH2" s="61"/>
      <c r="MI2" s="61"/>
      <c r="MJ2" s="61"/>
      <c r="MK2" s="61"/>
      <c r="ML2" s="61"/>
      <c r="MM2" s="61"/>
      <c r="MN2" s="61"/>
      <c r="MO2" s="61"/>
      <c r="MP2" s="61"/>
      <c r="MQ2" s="61"/>
      <c r="MR2" s="61"/>
      <c r="MS2" s="61"/>
      <c r="MT2" s="61"/>
      <c r="MU2" s="61"/>
      <c r="MV2" s="61"/>
      <c r="MW2" s="61"/>
      <c r="MX2" s="61"/>
      <c r="MY2" s="61"/>
      <c r="MZ2" s="61"/>
      <c r="NA2" s="61"/>
      <c r="NB2" s="61"/>
      <c r="NC2" s="61"/>
      <c r="ND2" s="61"/>
      <c r="NE2" s="61"/>
      <c r="NF2" s="61"/>
      <c r="NG2" s="61"/>
      <c r="NH2" s="61"/>
      <c r="NI2" s="61"/>
      <c r="NJ2" s="61"/>
      <c r="NK2" s="61"/>
      <c r="NL2" s="61"/>
      <c r="NM2" s="61"/>
      <c r="NN2" s="61"/>
      <c r="NO2" s="61"/>
      <c r="NP2" s="61"/>
      <c r="NQ2" s="61"/>
      <c r="NR2" s="61"/>
      <c r="NS2" s="61"/>
      <c r="NT2" s="61"/>
      <c r="NU2" s="61"/>
      <c r="NV2" s="61"/>
      <c r="NW2" s="61"/>
      <c r="NX2" s="61"/>
      <c r="NY2" s="61"/>
      <c r="NZ2" s="61"/>
      <c r="OA2" s="61"/>
      <c r="OB2" s="61"/>
      <c r="OC2" s="61"/>
      <c r="OD2" s="61"/>
      <c r="OE2" s="61"/>
      <c r="OF2" s="61"/>
      <c r="OG2" s="61"/>
      <c r="OH2" s="61"/>
      <c r="OI2" s="61"/>
      <c r="OJ2" s="61"/>
      <c r="OK2" s="61"/>
      <c r="OL2" s="61"/>
      <c r="OM2" s="61"/>
      <c r="ON2" s="61"/>
      <c r="OO2" s="61"/>
      <c r="OP2" s="61"/>
      <c r="OQ2" s="61"/>
      <c r="OR2" s="61"/>
      <c r="OS2" s="61"/>
      <c r="OT2" s="61"/>
      <c r="OU2" s="61"/>
      <c r="OV2" s="61"/>
      <c r="OW2" s="61"/>
      <c r="OX2" s="61"/>
      <c r="OY2" s="61"/>
      <c r="OZ2" s="61"/>
      <c r="PA2" s="61"/>
      <c r="PB2" s="61"/>
      <c r="PC2" s="61"/>
      <c r="PD2" s="61"/>
      <c r="PE2" s="61"/>
      <c r="PF2" s="61"/>
      <c r="PG2" s="61"/>
      <c r="PH2" s="61"/>
      <c r="PI2" s="61"/>
      <c r="PJ2" s="61"/>
      <c r="PK2" s="61"/>
      <c r="PL2" s="61"/>
      <c r="PM2" s="61"/>
      <c r="PN2" s="61"/>
      <c r="PO2" s="61"/>
      <c r="PP2" s="61"/>
      <c r="PQ2" s="61"/>
      <c r="PR2" s="61"/>
      <c r="PS2" s="61"/>
      <c r="PT2" s="61"/>
      <c r="PU2" s="61"/>
      <c r="PV2" s="61"/>
      <c r="PW2" s="61"/>
      <c r="PX2" s="61"/>
      <c r="PY2" s="61"/>
      <c r="PZ2" s="61"/>
      <c r="QA2" s="61"/>
      <c r="QB2" s="61"/>
      <c r="QC2" s="61"/>
      <c r="QD2" s="61"/>
      <c r="QE2" s="61"/>
      <c r="QF2" s="61"/>
      <c r="QG2" s="61"/>
      <c r="QH2" s="61"/>
      <c r="QI2" s="61"/>
      <c r="QJ2" s="61"/>
      <c r="QK2" s="61"/>
      <c r="QL2" s="61"/>
      <c r="QM2" s="61"/>
      <c r="QN2" s="61"/>
      <c r="QO2" s="61"/>
      <c r="QP2" s="61"/>
      <c r="QQ2" s="61"/>
      <c r="QR2" s="61"/>
      <c r="QS2" s="61"/>
      <c r="QT2" s="61"/>
      <c r="QU2" s="61"/>
      <c r="QV2" s="61"/>
      <c r="QW2" s="61"/>
      <c r="QX2" s="61"/>
      <c r="QY2" s="61"/>
      <c r="QZ2" s="61"/>
      <c r="RA2" s="61"/>
      <c r="RB2" s="61"/>
      <c r="RC2" s="61"/>
      <c r="RD2" s="61"/>
      <c r="RE2" s="61"/>
      <c r="RF2" s="61"/>
      <c r="RG2" s="61"/>
      <c r="RH2" s="61"/>
      <c r="RI2" s="61"/>
      <c r="RJ2" s="61"/>
      <c r="RK2" s="61"/>
      <c r="RL2" s="61"/>
      <c r="RM2" s="61"/>
      <c r="RN2" s="61"/>
      <c r="RO2" s="61"/>
      <c r="RP2" s="61"/>
      <c r="RQ2" s="61"/>
      <c r="RR2" s="61"/>
      <c r="RS2" s="61"/>
      <c r="RT2" s="61"/>
      <c r="RU2" s="61"/>
      <c r="RV2" s="61"/>
      <c r="RW2" s="61"/>
      <c r="RX2" s="61"/>
      <c r="RY2" s="61"/>
      <c r="RZ2" s="61"/>
      <c r="SA2" s="61"/>
      <c r="SB2" s="61"/>
      <c r="SC2" s="61"/>
      <c r="SD2" s="61"/>
      <c r="SE2" s="61"/>
      <c r="SF2" s="61"/>
      <c r="SG2" s="61"/>
      <c r="SH2" s="61"/>
      <c r="SI2" s="61"/>
      <c r="SJ2" s="61"/>
      <c r="SK2" s="61"/>
      <c r="SL2" s="61"/>
      <c r="SM2" s="61"/>
      <c r="SN2" s="61"/>
      <c r="SO2" s="61"/>
      <c r="SP2" s="61"/>
      <c r="SQ2" s="61"/>
      <c r="SR2" s="61"/>
      <c r="SS2" s="61"/>
      <c r="ST2" s="61"/>
      <c r="SU2" s="61"/>
      <c r="SV2" s="61"/>
      <c r="SW2" s="61"/>
      <c r="SX2" s="61"/>
      <c r="SY2" s="61"/>
      <c r="SZ2" s="61"/>
      <c r="TA2" s="61"/>
      <c r="TB2" s="61"/>
      <c r="TC2" s="61"/>
      <c r="TD2" s="61"/>
      <c r="TE2" s="61"/>
      <c r="TF2" s="61"/>
      <c r="TG2" s="61"/>
      <c r="TH2" s="61"/>
      <c r="TI2" s="61"/>
      <c r="TJ2" s="61"/>
      <c r="TK2" s="61"/>
      <c r="TL2" s="61"/>
      <c r="TM2" s="61"/>
      <c r="TN2" s="61"/>
      <c r="TO2" s="61"/>
      <c r="TP2" s="61"/>
      <c r="TQ2" s="61"/>
      <c r="TR2" s="61"/>
      <c r="TS2" s="61"/>
      <c r="TT2" s="61"/>
      <c r="TU2" s="61"/>
      <c r="TV2" s="61"/>
      <c r="TW2" s="61"/>
      <c r="TX2" s="61"/>
      <c r="TY2" s="61"/>
      <c r="TZ2" s="61"/>
      <c r="UA2" s="61"/>
      <c r="UB2" s="61"/>
      <c r="UC2" s="61"/>
      <c r="UD2" s="61"/>
      <c r="UE2" s="61"/>
      <c r="UF2" s="61"/>
      <c r="UG2" s="61"/>
      <c r="UH2" s="61"/>
      <c r="UI2" s="61"/>
      <c r="UJ2" s="61"/>
      <c r="UK2" s="61"/>
      <c r="UL2" s="61"/>
      <c r="UM2" s="61"/>
      <c r="UN2" s="61"/>
      <c r="UO2" s="61"/>
      <c r="UP2" s="61"/>
      <c r="UQ2" s="61"/>
      <c r="UR2" s="61"/>
      <c r="US2" s="61"/>
      <c r="UT2" s="61"/>
      <c r="UU2" s="61"/>
      <c r="UV2" s="61"/>
      <c r="UW2" s="61"/>
      <c r="UX2" s="61"/>
      <c r="UY2" s="61"/>
      <c r="UZ2" s="61"/>
      <c r="VA2" s="61"/>
      <c r="VB2" s="61"/>
      <c r="VC2" s="61"/>
      <c r="VD2" s="61"/>
      <c r="VE2" s="61"/>
      <c r="VF2" s="61"/>
      <c r="VG2" s="61"/>
      <c r="VH2" s="61"/>
      <c r="VI2" s="61"/>
      <c r="VJ2" s="61"/>
      <c r="VK2" s="61"/>
      <c r="VL2" s="61"/>
      <c r="VM2" s="61"/>
      <c r="VN2" s="61"/>
      <c r="VO2" s="61"/>
      <c r="VP2" s="61"/>
      <c r="VQ2" s="61"/>
      <c r="VR2" s="61"/>
      <c r="VS2" s="61"/>
      <c r="VT2" s="61"/>
      <c r="VU2" s="61"/>
      <c r="VV2" s="61"/>
      <c r="VW2" s="61"/>
      <c r="VX2" s="61"/>
      <c r="VY2" s="61"/>
      <c r="VZ2" s="61"/>
      <c r="WA2" s="61"/>
      <c r="WB2" s="61"/>
      <c r="WC2" s="61"/>
      <c r="WD2" s="61"/>
      <c r="WE2" s="61"/>
      <c r="WF2" s="61"/>
      <c r="WG2" s="61"/>
      <c r="WH2" s="61"/>
      <c r="WI2" s="61"/>
      <c r="WJ2" s="61"/>
      <c r="WK2" s="61"/>
      <c r="WL2" s="61"/>
      <c r="WM2" s="61"/>
      <c r="WN2" s="61"/>
      <c r="WO2" s="61"/>
      <c r="WP2" s="61"/>
      <c r="WQ2" s="61"/>
      <c r="WR2" s="61"/>
      <c r="WS2" s="61"/>
      <c r="WT2" s="61"/>
      <c r="WU2" s="61"/>
      <c r="WV2" s="61"/>
      <c r="WW2" s="61"/>
      <c r="WX2" s="61"/>
      <c r="WY2" s="61"/>
      <c r="WZ2" s="61"/>
      <c r="XA2" s="61"/>
      <c r="XB2" s="61"/>
      <c r="XC2" s="61"/>
      <c r="XD2" s="61"/>
      <c r="XE2" s="61"/>
      <c r="XF2" s="61"/>
      <c r="XG2" s="61"/>
      <c r="XH2" s="61"/>
      <c r="XI2" s="61"/>
      <c r="XJ2" s="61"/>
      <c r="XK2" s="61"/>
      <c r="XL2" s="61"/>
      <c r="XM2" s="61"/>
      <c r="XN2" s="61"/>
      <c r="XO2" s="61"/>
      <c r="XP2" s="61"/>
      <c r="XQ2" s="61"/>
      <c r="XR2" s="61"/>
      <c r="XS2" s="61"/>
      <c r="XT2" s="61"/>
      <c r="XU2" s="61"/>
      <c r="XV2" s="61"/>
      <c r="XW2" s="61"/>
      <c r="XX2" s="61"/>
      <c r="XY2" s="61"/>
      <c r="XZ2" s="61"/>
      <c r="YA2" s="61"/>
      <c r="YB2" s="61"/>
      <c r="YC2" s="61"/>
      <c r="YD2" s="61"/>
      <c r="YE2" s="61"/>
      <c r="YF2" s="61"/>
      <c r="YG2" s="61"/>
      <c r="YH2" s="61"/>
      <c r="YI2" s="61"/>
      <c r="YJ2" s="61"/>
      <c r="YK2" s="61"/>
      <c r="YL2" s="61"/>
      <c r="YM2" s="61"/>
      <c r="YN2" s="61"/>
      <c r="YO2" s="61"/>
      <c r="YP2" s="61"/>
      <c r="YQ2" s="61"/>
      <c r="YR2" s="61"/>
      <c r="YS2" s="61"/>
      <c r="YT2" s="61"/>
      <c r="YU2" s="61"/>
      <c r="YV2" s="61"/>
      <c r="YW2" s="61"/>
      <c r="YX2" s="61"/>
      <c r="YY2" s="61"/>
      <c r="YZ2" s="61"/>
      <c r="ZA2" s="61"/>
      <c r="ZB2" s="61"/>
      <c r="ZC2" s="61"/>
      <c r="ZD2" s="61"/>
      <c r="ZE2" s="61"/>
      <c r="ZF2" s="61"/>
      <c r="ZG2" s="61"/>
      <c r="ZH2" s="61"/>
      <c r="ZI2" s="61"/>
      <c r="ZJ2" s="61"/>
      <c r="ZK2" s="61"/>
      <c r="ZL2" s="61"/>
      <c r="ZM2" s="61"/>
      <c r="ZN2" s="61"/>
      <c r="ZO2" s="61"/>
      <c r="ZP2" s="61"/>
      <c r="ZQ2" s="61"/>
      <c r="ZR2" s="61"/>
      <c r="ZS2" s="61"/>
      <c r="ZT2" s="61"/>
      <c r="ZU2" s="61"/>
      <c r="ZV2" s="61"/>
      <c r="ZW2" s="61"/>
      <c r="ZX2" s="61"/>
      <c r="ZY2" s="61"/>
      <c r="ZZ2" s="61"/>
      <c r="AAA2" s="61"/>
      <c r="AAB2" s="61"/>
      <c r="AAC2" s="61"/>
      <c r="AAD2" s="61"/>
      <c r="AAE2" s="61"/>
      <c r="AAF2" s="61"/>
      <c r="AAG2" s="61"/>
      <c r="AAH2" s="61"/>
      <c r="AAI2" s="61"/>
      <c r="AAJ2" s="61"/>
      <c r="AAK2" s="61"/>
      <c r="AAL2" s="61"/>
      <c r="AAM2" s="61"/>
      <c r="AAN2" s="61"/>
      <c r="AAO2" s="61"/>
      <c r="AAP2" s="61"/>
      <c r="AAQ2" s="61"/>
      <c r="AAR2" s="61"/>
      <c r="AAS2" s="61"/>
      <c r="AAT2" s="61"/>
      <c r="AAU2" s="61"/>
      <c r="AAV2" s="61"/>
      <c r="AAW2" s="61"/>
      <c r="AAX2" s="61"/>
      <c r="AAY2" s="61"/>
      <c r="AAZ2" s="61"/>
      <c r="ABA2" s="61"/>
      <c r="ABB2" s="61"/>
      <c r="ABC2" s="61"/>
      <c r="ABD2" s="61"/>
      <c r="ABE2" s="61"/>
      <c r="ABF2" s="61"/>
      <c r="ABG2" s="61"/>
      <c r="ABH2" s="61"/>
      <c r="ABI2" s="61"/>
      <c r="ABJ2" s="61"/>
      <c r="ABK2" s="61"/>
      <c r="ABL2" s="61"/>
      <c r="ABM2" s="61"/>
      <c r="ABN2" s="61"/>
      <c r="ABO2" s="61"/>
      <c r="ABP2" s="61"/>
      <c r="ABQ2" s="61"/>
      <c r="ABR2" s="61"/>
      <c r="ABS2" s="61"/>
      <c r="ABT2" s="61"/>
      <c r="ABU2" s="61"/>
      <c r="ABV2" s="61"/>
      <c r="ABW2" s="61"/>
      <c r="ABX2" s="61"/>
      <c r="ABY2" s="61"/>
      <c r="ABZ2" s="61"/>
      <c r="ACA2" s="61"/>
      <c r="ACB2" s="61"/>
      <c r="ACC2" s="61"/>
      <c r="ACD2" s="61"/>
      <c r="ACE2" s="61"/>
      <c r="ACF2" s="61"/>
      <c r="ACG2" s="61"/>
      <c r="ACH2" s="61"/>
      <c r="ACI2" s="61"/>
      <c r="ACJ2" s="61"/>
      <c r="ACK2" s="61"/>
      <c r="ACL2" s="61"/>
      <c r="ACM2" s="61"/>
      <c r="ACN2" s="61"/>
      <c r="ACO2" s="61"/>
      <c r="ACP2" s="61"/>
      <c r="ACQ2" s="61"/>
      <c r="ACR2" s="61"/>
      <c r="ACS2" s="61"/>
      <c r="ACT2" s="61"/>
      <c r="ACU2" s="61"/>
      <c r="ACV2" s="61"/>
      <c r="ACW2" s="61"/>
      <c r="ACX2" s="61"/>
      <c r="ACY2" s="61"/>
      <c r="ACZ2" s="61"/>
      <c r="ADA2" s="61"/>
      <c r="ADB2" s="61"/>
      <c r="ADC2" s="61"/>
      <c r="ADD2" s="61"/>
      <c r="ADE2" s="61"/>
      <c r="ADF2" s="61"/>
      <c r="ADG2" s="61"/>
      <c r="ADH2" s="61"/>
      <c r="ADI2" s="61"/>
      <c r="ADJ2" s="61"/>
      <c r="ADK2" s="61"/>
      <c r="ADL2" s="61"/>
      <c r="ADM2" s="61"/>
      <c r="ADN2" s="61"/>
      <c r="ADO2" s="61"/>
      <c r="ADP2" s="61"/>
      <c r="ADQ2" s="61"/>
      <c r="ADR2" s="61"/>
      <c r="ADS2" s="61"/>
      <c r="ADT2" s="61"/>
      <c r="ADU2" s="61"/>
      <c r="ADV2" s="61"/>
      <c r="ADW2" s="61"/>
      <c r="ADX2" s="61"/>
      <c r="ADY2" s="61"/>
      <c r="ADZ2" s="61"/>
      <c r="AEA2" s="61"/>
      <c r="AEB2" s="61"/>
      <c r="AEC2" s="61"/>
      <c r="AED2" s="61"/>
      <c r="AEE2" s="61"/>
      <c r="AEF2" s="61"/>
      <c r="AEG2" s="61"/>
      <c r="AEH2" s="61"/>
      <c r="AEI2" s="61"/>
      <c r="AEJ2" s="61"/>
      <c r="AEK2" s="61"/>
      <c r="AEL2" s="61"/>
      <c r="AEM2" s="61"/>
      <c r="AEN2" s="61"/>
      <c r="AEO2" s="61"/>
      <c r="AEP2" s="61"/>
      <c r="AEQ2" s="61"/>
      <c r="AER2" s="61"/>
      <c r="AES2" s="61"/>
      <c r="AET2" s="61"/>
      <c r="AEU2" s="61"/>
      <c r="AEV2" s="61"/>
      <c r="AEW2" s="61"/>
      <c r="AEX2" s="61"/>
      <c r="AEY2" s="61"/>
      <c r="AEZ2" s="61"/>
      <c r="AFA2" s="61"/>
      <c r="AFB2" s="61"/>
      <c r="AFC2" s="61"/>
      <c r="AFD2" s="61"/>
      <c r="AFE2" s="61"/>
      <c r="AFF2" s="61"/>
      <c r="AFG2" s="61"/>
      <c r="AFH2" s="61"/>
      <c r="AFI2" s="61"/>
      <c r="AFJ2" s="61"/>
      <c r="AFK2" s="61"/>
      <c r="AFL2" s="61"/>
      <c r="AFM2" s="61"/>
      <c r="AFN2" s="61"/>
      <c r="AFO2" s="61"/>
      <c r="AFP2" s="61"/>
      <c r="AFQ2" s="61"/>
      <c r="AFR2" s="61"/>
      <c r="AFS2" s="61"/>
      <c r="AFT2" s="61"/>
      <c r="AFU2" s="61"/>
      <c r="AFV2" s="61"/>
      <c r="AFW2" s="61"/>
      <c r="AFX2" s="61"/>
      <c r="AFY2" s="61"/>
      <c r="AFZ2" s="61"/>
      <c r="AGA2" s="61"/>
      <c r="AGB2" s="61"/>
      <c r="AGC2" s="61"/>
      <c r="AGD2" s="61"/>
      <c r="AGE2" s="61"/>
      <c r="AGF2" s="61"/>
      <c r="AGG2" s="61"/>
      <c r="AGH2" s="61"/>
      <c r="AGI2" s="61"/>
      <c r="AGJ2" s="61"/>
      <c r="AGK2" s="61"/>
      <c r="AGL2" s="61"/>
      <c r="AGM2" s="61"/>
      <c r="AGN2" s="61"/>
      <c r="AGO2" s="61"/>
      <c r="AGP2" s="61"/>
      <c r="AGQ2" s="61"/>
      <c r="AGR2" s="61"/>
      <c r="AGS2" s="61"/>
      <c r="AGT2" s="61"/>
      <c r="AGU2" s="61"/>
      <c r="AGV2" s="61"/>
      <c r="AGW2" s="61"/>
      <c r="AGX2" s="61"/>
      <c r="AGY2" s="61"/>
      <c r="AGZ2" s="61"/>
      <c r="AHA2" s="61"/>
      <c r="AHB2" s="61"/>
      <c r="AHC2" s="61"/>
      <c r="AHD2" s="61"/>
      <c r="AHE2" s="61"/>
      <c r="AHF2" s="61"/>
      <c r="AHG2" s="61"/>
      <c r="AHH2" s="61"/>
      <c r="AHI2" s="61"/>
      <c r="AHJ2" s="61"/>
      <c r="AHK2" s="61"/>
      <c r="AHL2" s="61"/>
      <c r="AHM2" s="61"/>
      <c r="AHN2" s="61"/>
      <c r="AHO2" s="61"/>
      <c r="AHP2" s="61"/>
      <c r="AHQ2" s="61"/>
      <c r="AHR2" s="61"/>
      <c r="AHS2" s="61"/>
      <c r="AHT2" s="61"/>
      <c r="AHU2" s="61"/>
      <c r="AHV2" s="61"/>
      <c r="AHW2" s="61"/>
      <c r="AHX2" s="61"/>
      <c r="AHY2" s="61"/>
      <c r="AHZ2" s="61"/>
      <c r="AIA2" s="61"/>
      <c r="AIB2" s="61"/>
      <c r="AIC2" s="61"/>
      <c r="AID2" s="61"/>
      <c r="AIE2" s="61"/>
      <c r="AIF2" s="61"/>
      <c r="AIG2" s="61"/>
      <c r="AIH2" s="61"/>
      <c r="AII2" s="61"/>
      <c r="AIJ2" s="61"/>
      <c r="AIK2" s="61"/>
      <c r="AIL2" s="61"/>
      <c r="AIM2" s="61"/>
      <c r="AIN2" s="61"/>
      <c r="AIO2" s="61"/>
      <c r="AIP2" s="61"/>
      <c r="AIQ2" s="61"/>
      <c r="AIR2" s="61"/>
      <c r="AIS2" s="61"/>
      <c r="AIT2" s="61"/>
      <c r="AIU2" s="61"/>
      <c r="AIV2" s="61"/>
      <c r="AIW2" s="61"/>
      <c r="AIX2" s="61"/>
      <c r="AIY2" s="61"/>
      <c r="AIZ2" s="61"/>
      <c r="AJA2" s="61"/>
      <c r="AJB2" s="61"/>
      <c r="AJC2" s="61"/>
      <c r="AJD2" s="61"/>
      <c r="AJE2" s="61"/>
      <c r="AJF2" s="61"/>
      <c r="AJG2" s="61"/>
      <c r="AJH2" s="61"/>
      <c r="AJI2" s="61"/>
      <c r="AJJ2" s="61"/>
      <c r="AJK2" s="61"/>
      <c r="AJL2" s="61"/>
      <c r="AJM2" s="61"/>
      <c r="AJN2" s="61"/>
      <c r="AJO2" s="61"/>
      <c r="AJP2" s="61"/>
      <c r="AJQ2" s="61"/>
      <c r="AJR2" s="61"/>
      <c r="AJS2" s="61"/>
      <c r="AJT2" s="61"/>
      <c r="AJU2" s="61"/>
      <c r="AJV2" s="61"/>
      <c r="AJW2" s="61"/>
      <c r="AJX2" s="61"/>
      <c r="AJY2" s="61"/>
      <c r="AJZ2" s="61"/>
      <c r="AKA2" s="61"/>
      <c r="AKB2" s="61"/>
      <c r="AKC2" s="61"/>
      <c r="AKD2" s="61"/>
      <c r="AKE2" s="61"/>
      <c r="AKF2" s="61"/>
      <c r="AKG2" s="61"/>
      <c r="AKH2" s="61"/>
      <c r="AKI2" s="61"/>
      <c r="AKJ2" s="61"/>
      <c r="AKK2" s="61"/>
      <c r="AKL2" s="61"/>
      <c r="AKM2" s="61"/>
      <c r="AKN2" s="61"/>
      <c r="AKO2" s="61"/>
      <c r="AKP2" s="61"/>
      <c r="AKQ2" s="61"/>
      <c r="AKR2" s="61"/>
      <c r="AKS2" s="61"/>
      <c r="AKT2" s="61"/>
      <c r="AKU2" s="61"/>
      <c r="AKV2" s="61"/>
      <c r="AKW2" s="61"/>
      <c r="AKX2" s="61"/>
      <c r="AKY2" s="61"/>
      <c r="AKZ2" s="61"/>
      <c r="ALA2" s="61"/>
      <c r="ALB2" s="61"/>
      <c r="ALC2" s="61"/>
      <c r="ALD2" s="61"/>
      <c r="ALE2" s="61"/>
      <c r="ALF2" s="61"/>
      <c r="ALG2" s="61"/>
      <c r="ALH2" s="61"/>
      <c r="ALI2" s="61"/>
      <c r="ALJ2" s="61"/>
      <c r="ALK2" s="61"/>
      <c r="ALL2" s="61"/>
      <c r="ALM2" s="61"/>
      <c r="ALN2" s="61"/>
      <c r="ALO2" s="61"/>
      <c r="ALP2" s="61"/>
      <c r="ALQ2" s="61"/>
      <c r="ALR2" s="61"/>
      <c r="ALS2" s="61"/>
      <c r="ALT2" s="61"/>
      <c r="ALU2" s="61"/>
      <c r="ALV2" s="61"/>
      <c r="ALW2" s="61"/>
      <c r="ALX2" s="61"/>
      <c r="ALY2" s="61"/>
      <c r="ALZ2" s="61"/>
      <c r="AMA2" s="61"/>
      <c r="AMB2" s="61"/>
      <c r="AMC2" s="61"/>
      <c r="AMD2" s="61"/>
      <c r="AME2" s="61"/>
      <c r="AMF2" s="61"/>
      <c r="AMG2" s="61"/>
      <c r="AMH2" s="61"/>
      <c r="AMI2" s="61"/>
      <c r="AMJ2" s="61"/>
      <c r="AMK2" s="61"/>
      <c r="AML2" s="61"/>
      <c r="AMM2" s="61"/>
      <c r="AMN2" s="61"/>
      <c r="AMO2" s="61"/>
      <c r="AMP2" s="61"/>
      <c r="AMQ2" s="61"/>
      <c r="AMR2" s="61"/>
      <c r="AMS2" s="61"/>
      <c r="AMT2" s="61"/>
      <c r="AMU2" s="61"/>
      <c r="AMV2" s="61"/>
      <c r="AMW2" s="61"/>
      <c r="AMX2" s="61"/>
      <c r="AMY2" s="61"/>
      <c r="AMZ2" s="61"/>
      <c r="ANA2" s="61"/>
      <c r="ANB2" s="61"/>
      <c r="ANC2" s="61"/>
      <c r="AND2" s="61"/>
      <c r="ANE2" s="61"/>
      <c r="ANF2" s="61"/>
      <c r="ANG2" s="61"/>
      <c r="ANH2" s="61"/>
      <c r="ANI2" s="61"/>
      <c r="ANJ2" s="61"/>
      <c r="ANK2" s="61"/>
      <c r="ANL2" s="61"/>
      <c r="ANM2" s="61"/>
      <c r="ANN2" s="61"/>
      <c r="ANO2" s="61"/>
      <c r="ANP2" s="61"/>
      <c r="ANQ2" s="61"/>
      <c r="ANR2" s="61"/>
      <c r="ANS2" s="61"/>
      <c r="ANT2" s="61"/>
      <c r="ANU2" s="61"/>
      <c r="ANV2" s="61"/>
      <c r="ANW2" s="61"/>
      <c r="ANX2" s="61"/>
      <c r="ANY2" s="61"/>
      <c r="ANZ2" s="61"/>
      <c r="AOA2" s="61"/>
      <c r="AOB2" s="61"/>
      <c r="AOC2" s="61"/>
      <c r="AOD2" s="61"/>
      <c r="AOE2" s="61"/>
      <c r="AOF2" s="61"/>
      <c r="AOG2" s="61"/>
      <c r="AOH2" s="61"/>
      <c r="AOI2" s="61"/>
      <c r="AOJ2" s="61"/>
      <c r="AOK2" s="61"/>
      <c r="AOL2" s="61"/>
      <c r="AOM2" s="61"/>
      <c r="AON2" s="61"/>
      <c r="AOO2" s="61"/>
      <c r="AOP2" s="61"/>
      <c r="AOQ2" s="61"/>
      <c r="AOR2" s="61"/>
      <c r="AOS2" s="61"/>
      <c r="AOT2" s="61"/>
      <c r="AOU2" s="61"/>
      <c r="AOV2" s="61"/>
      <c r="AOW2" s="61"/>
      <c r="AOX2" s="61"/>
      <c r="AOY2" s="61"/>
      <c r="AOZ2" s="61"/>
      <c r="APA2" s="61"/>
      <c r="APB2" s="61"/>
      <c r="APC2" s="61"/>
      <c r="APD2" s="61"/>
      <c r="APE2" s="61"/>
      <c r="APF2" s="61"/>
      <c r="APG2" s="61"/>
      <c r="APH2" s="61"/>
      <c r="API2" s="61"/>
      <c r="APJ2" s="61"/>
      <c r="APK2" s="61"/>
      <c r="APL2" s="61"/>
      <c r="APM2" s="61"/>
      <c r="APN2" s="61"/>
      <c r="APO2" s="61"/>
      <c r="APP2" s="61"/>
      <c r="APQ2" s="61"/>
      <c r="APR2" s="61"/>
      <c r="APS2" s="61"/>
      <c r="APT2" s="61"/>
      <c r="APU2" s="61"/>
      <c r="APV2" s="61"/>
      <c r="APW2" s="61"/>
      <c r="APX2" s="61"/>
      <c r="APY2" s="61"/>
      <c r="APZ2" s="61"/>
      <c r="AQA2" s="61"/>
      <c r="AQB2" s="61"/>
      <c r="AQC2" s="61"/>
      <c r="AQD2" s="61"/>
      <c r="AQE2" s="61"/>
      <c r="AQF2" s="61"/>
      <c r="AQG2" s="61"/>
      <c r="AQH2" s="61"/>
      <c r="AQI2" s="61"/>
      <c r="AQJ2" s="61"/>
      <c r="AQK2" s="61"/>
      <c r="AQL2" s="61"/>
      <c r="AQM2" s="61"/>
      <c r="AQN2" s="61"/>
      <c r="AQO2" s="61"/>
      <c r="AQP2" s="61"/>
      <c r="AQQ2" s="61"/>
      <c r="AQR2" s="61"/>
      <c r="AQS2" s="61"/>
      <c r="AQT2" s="61"/>
      <c r="AQU2" s="61"/>
      <c r="AQV2" s="61"/>
      <c r="AQW2" s="61"/>
      <c r="AQX2" s="61"/>
      <c r="AQY2" s="61"/>
      <c r="AQZ2" s="61"/>
      <c r="ARA2" s="61"/>
      <c r="ARB2" s="61"/>
      <c r="ARC2" s="61"/>
      <c r="ARD2" s="61"/>
      <c r="ARE2" s="61"/>
      <c r="ARF2" s="61"/>
      <c r="ARG2" s="61"/>
      <c r="ARH2" s="61"/>
      <c r="ARI2" s="61"/>
      <c r="ARJ2" s="61"/>
      <c r="ARK2" s="61"/>
      <c r="ARL2" s="61"/>
      <c r="ARM2" s="61"/>
      <c r="ARN2" s="61"/>
      <c r="ARO2" s="61"/>
      <c r="ARP2" s="61"/>
      <c r="ARQ2" s="61"/>
      <c r="ARR2" s="61"/>
      <c r="ARS2" s="61"/>
      <c r="ART2" s="61"/>
      <c r="ARU2" s="61"/>
      <c r="ARV2" s="61"/>
      <c r="ARW2" s="61"/>
      <c r="ARX2" s="61"/>
      <c r="ARY2" s="61"/>
      <c r="ARZ2" s="61"/>
      <c r="ASA2" s="61"/>
      <c r="ASB2" s="61"/>
      <c r="ASC2" s="61"/>
      <c r="ASD2" s="61"/>
      <c r="ASE2" s="61"/>
      <c r="ASF2" s="61"/>
      <c r="ASG2" s="61"/>
      <c r="ASH2" s="61"/>
      <c r="ASI2" s="61"/>
      <c r="ASJ2" s="61"/>
      <c r="ASK2" s="61"/>
      <c r="ASL2" s="61"/>
      <c r="ASM2" s="61"/>
      <c r="ASN2" s="61"/>
      <c r="ASO2" s="61"/>
      <c r="ASP2" s="61"/>
      <c r="ASQ2" s="61"/>
      <c r="ASR2" s="61"/>
      <c r="ASS2" s="61"/>
      <c r="AST2" s="61"/>
      <c r="ASU2" s="61"/>
      <c r="ASV2" s="61"/>
      <c r="ASW2" s="61"/>
      <c r="ASX2" s="61"/>
      <c r="ASY2" s="61"/>
      <c r="ASZ2" s="61"/>
      <c r="ATA2" s="61"/>
      <c r="ATB2" s="61"/>
      <c r="ATC2" s="61"/>
      <c r="ATD2" s="61"/>
      <c r="ATE2" s="61"/>
      <c r="ATF2" s="61"/>
      <c r="ATG2" s="61"/>
      <c r="ATH2" s="61"/>
      <c r="ATI2" s="61"/>
      <c r="ATJ2" s="61"/>
      <c r="ATK2" s="61"/>
      <c r="ATL2" s="61"/>
      <c r="ATM2" s="61"/>
      <c r="ATN2" s="61"/>
      <c r="ATO2" s="61"/>
      <c r="ATP2" s="61"/>
      <c r="ATQ2" s="61"/>
      <c r="ATR2" s="61"/>
      <c r="ATS2" s="61"/>
      <c r="ATT2" s="61"/>
      <c r="ATU2" s="61"/>
      <c r="ATV2" s="61"/>
      <c r="ATW2" s="61"/>
      <c r="ATX2" s="61"/>
      <c r="ATY2" s="61"/>
      <c r="ATZ2" s="61"/>
      <c r="AUA2" s="61"/>
      <c r="AUB2" s="61"/>
      <c r="AUC2" s="61"/>
      <c r="AUD2" s="61"/>
      <c r="AUE2" s="61"/>
      <c r="AUF2" s="61"/>
      <c r="AUG2" s="61"/>
      <c r="AUH2" s="61"/>
      <c r="AUI2" s="61"/>
      <c r="AUJ2" s="61"/>
      <c r="AUK2" s="61"/>
      <c r="AUL2" s="61"/>
      <c r="AUM2" s="61"/>
      <c r="AUN2" s="61"/>
      <c r="AUO2" s="61"/>
      <c r="AUP2" s="61"/>
      <c r="AUQ2" s="61"/>
      <c r="AUR2" s="61"/>
      <c r="AUS2" s="61"/>
      <c r="AUT2" s="61"/>
      <c r="AUU2" s="61"/>
      <c r="AUV2" s="61"/>
      <c r="AUW2" s="61"/>
      <c r="AUX2" s="61"/>
      <c r="AUY2" s="61"/>
      <c r="AUZ2" s="61"/>
      <c r="AVA2" s="61"/>
      <c r="AVB2" s="61"/>
      <c r="AVC2" s="61"/>
      <c r="AVD2" s="61"/>
      <c r="AVE2" s="61"/>
      <c r="AVF2" s="61"/>
      <c r="AVG2" s="61"/>
      <c r="AVH2" s="61"/>
      <c r="AVI2" s="61"/>
      <c r="AVJ2" s="61"/>
      <c r="AVK2" s="61"/>
      <c r="AVL2" s="61"/>
      <c r="AVM2" s="61"/>
      <c r="AVN2" s="61"/>
      <c r="AVO2" s="61"/>
      <c r="AVP2" s="61"/>
      <c r="AVQ2" s="61"/>
      <c r="AVR2" s="61"/>
      <c r="AVS2" s="61"/>
      <c r="AVT2" s="61"/>
      <c r="AVU2" s="61"/>
      <c r="AVV2" s="61"/>
      <c r="AVW2" s="61"/>
      <c r="AVX2" s="61"/>
      <c r="AVY2" s="61"/>
      <c r="AVZ2" s="61"/>
      <c r="AWA2" s="61"/>
      <c r="AWB2" s="61"/>
      <c r="AWC2" s="61"/>
      <c r="AWD2" s="61"/>
      <c r="AWE2" s="61"/>
      <c r="AWF2" s="61"/>
      <c r="AWG2" s="61"/>
      <c r="AWH2" s="61"/>
      <c r="AWI2" s="61"/>
      <c r="AWJ2" s="61"/>
      <c r="AWK2" s="61"/>
      <c r="AWL2" s="61"/>
      <c r="AWM2" s="61"/>
      <c r="AWN2" s="61"/>
      <c r="AWO2" s="61"/>
      <c r="AWP2" s="61"/>
      <c r="AWQ2" s="61"/>
      <c r="AWR2" s="61"/>
      <c r="AWS2" s="61"/>
      <c r="AWT2" s="61"/>
      <c r="AWU2" s="61"/>
      <c r="AWV2" s="61"/>
      <c r="AWW2" s="61"/>
      <c r="AWX2" s="61"/>
      <c r="AWY2" s="61"/>
      <c r="AWZ2" s="61"/>
      <c r="AXA2" s="61"/>
      <c r="AXB2" s="61"/>
      <c r="AXC2" s="61"/>
      <c r="AXD2" s="61"/>
      <c r="AXE2" s="61"/>
      <c r="AXF2" s="61"/>
      <c r="AXG2" s="61"/>
      <c r="AXH2" s="61"/>
      <c r="AXI2" s="61"/>
      <c r="AXJ2" s="61"/>
      <c r="AXK2" s="61"/>
      <c r="AXL2" s="61"/>
      <c r="AXM2" s="61"/>
      <c r="AXN2" s="61"/>
      <c r="AXO2" s="61"/>
      <c r="AXP2" s="61"/>
      <c r="AXQ2" s="61"/>
      <c r="AXR2" s="61"/>
      <c r="AXS2" s="61"/>
      <c r="AXT2" s="61"/>
      <c r="AXU2" s="61"/>
      <c r="AXV2" s="61"/>
      <c r="AXW2" s="61"/>
      <c r="AXX2" s="61"/>
      <c r="AXY2" s="61"/>
      <c r="AXZ2" s="61"/>
      <c r="AYA2" s="61"/>
      <c r="AYB2" s="61"/>
      <c r="AYC2" s="61"/>
      <c r="AYD2" s="61"/>
      <c r="AYE2" s="61"/>
      <c r="AYF2" s="61"/>
      <c r="AYG2" s="61"/>
      <c r="AYH2" s="61"/>
      <c r="AYI2" s="61"/>
      <c r="AYJ2" s="61"/>
      <c r="AYK2" s="61"/>
      <c r="AYL2" s="61"/>
      <c r="AYM2" s="61"/>
      <c r="AYN2" s="61"/>
      <c r="AYO2" s="61"/>
      <c r="AYP2" s="61"/>
      <c r="AYQ2" s="61"/>
      <c r="AYR2" s="61"/>
      <c r="AYS2" s="61"/>
      <c r="AYT2" s="61"/>
      <c r="AYU2" s="61"/>
      <c r="AYV2" s="61"/>
      <c r="AYW2" s="61"/>
      <c r="AYX2" s="61"/>
      <c r="AYY2" s="61"/>
      <c r="AYZ2" s="61"/>
      <c r="AZA2" s="61"/>
      <c r="AZB2" s="61"/>
      <c r="AZC2" s="61"/>
      <c r="AZD2" s="61"/>
      <c r="AZE2" s="61"/>
      <c r="AZF2" s="61"/>
      <c r="AZG2" s="61"/>
      <c r="AZH2" s="61"/>
      <c r="AZI2" s="61"/>
      <c r="AZJ2" s="61"/>
      <c r="AZK2" s="61"/>
      <c r="AZL2" s="61"/>
      <c r="AZM2" s="61"/>
      <c r="AZN2" s="61"/>
      <c r="AZO2" s="61"/>
      <c r="AZP2" s="61"/>
      <c r="AZQ2" s="61"/>
      <c r="AZR2" s="61"/>
      <c r="AZS2" s="61"/>
      <c r="AZT2" s="61"/>
      <c r="AZU2" s="61"/>
      <c r="AZV2" s="61"/>
      <c r="AZW2" s="61"/>
      <c r="AZX2" s="61"/>
      <c r="AZY2" s="61"/>
      <c r="AZZ2" s="61"/>
      <c r="BAA2" s="61"/>
      <c r="BAB2" s="61"/>
      <c r="BAC2" s="61"/>
      <c r="BAD2" s="61"/>
      <c r="BAE2" s="61"/>
      <c r="BAF2" s="61"/>
      <c r="BAG2" s="61"/>
      <c r="BAH2" s="61"/>
      <c r="BAI2" s="61"/>
      <c r="BAJ2" s="61"/>
      <c r="BAK2" s="61"/>
      <c r="BAL2" s="61"/>
      <c r="BAM2" s="61"/>
      <c r="BAN2" s="61"/>
      <c r="BAO2" s="61"/>
      <c r="BAP2" s="61"/>
      <c r="BAQ2" s="61"/>
      <c r="BAR2" s="61"/>
      <c r="BAS2" s="61"/>
      <c r="BAT2" s="61"/>
      <c r="BAU2" s="61"/>
      <c r="BAV2" s="61"/>
      <c r="BAW2" s="61"/>
      <c r="BAX2" s="61"/>
      <c r="BAY2" s="61"/>
      <c r="BAZ2" s="61"/>
      <c r="BBA2" s="61"/>
      <c r="BBB2" s="61"/>
      <c r="BBC2" s="61"/>
      <c r="BBD2" s="61"/>
      <c r="BBE2" s="61"/>
      <c r="BBF2" s="61"/>
      <c r="BBG2" s="61"/>
      <c r="BBH2" s="61"/>
      <c r="BBI2" s="61"/>
      <c r="BBJ2" s="61"/>
      <c r="BBK2" s="61"/>
      <c r="BBL2" s="61"/>
      <c r="BBM2" s="61"/>
      <c r="BBN2" s="61"/>
      <c r="BBO2" s="61"/>
      <c r="BBP2" s="61"/>
      <c r="BBQ2" s="61"/>
      <c r="BBR2" s="61"/>
      <c r="BBS2" s="61"/>
      <c r="BBT2" s="61"/>
      <c r="BBU2" s="61"/>
      <c r="BBV2" s="61"/>
      <c r="BBW2" s="61"/>
      <c r="BBX2" s="61"/>
      <c r="BBY2" s="61"/>
      <c r="BBZ2" s="61"/>
      <c r="BCA2" s="61"/>
      <c r="BCB2" s="61"/>
      <c r="BCC2" s="61"/>
      <c r="BCD2" s="61"/>
      <c r="BCE2" s="61"/>
      <c r="BCF2" s="61"/>
      <c r="BCG2" s="61"/>
      <c r="BCH2" s="61"/>
      <c r="BCI2" s="61"/>
      <c r="BCJ2" s="61"/>
      <c r="BCK2" s="61"/>
      <c r="BCL2" s="61"/>
      <c r="BCM2" s="61"/>
      <c r="BCN2" s="61"/>
      <c r="BCO2" s="61"/>
      <c r="BCP2" s="61"/>
      <c r="BCQ2" s="61"/>
      <c r="BCR2" s="61"/>
      <c r="BCS2" s="61"/>
      <c r="BCT2" s="61"/>
      <c r="BCU2" s="61"/>
      <c r="BCV2" s="61"/>
      <c r="BCW2" s="61"/>
      <c r="BCX2" s="61"/>
      <c r="BCY2" s="61"/>
      <c r="BCZ2" s="61"/>
      <c r="BDA2" s="61"/>
      <c r="BDB2" s="61"/>
      <c r="BDC2" s="61"/>
      <c r="BDD2" s="61"/>
      <c r="BDE2" s="61"/>
      <c r="BDF2" s="61"/>
      <c r="BDG2" s="61"/>
      <c r="BDH2" s="61"/>
      <c r="BDI2" s="61"/>
      <c r="BDJ2" s="61"/>
      <c r="BDK2" s="61"/>
      <c r="BDL2" s="61"/>
      <c r="BDM2" s="61"/>
      <c r="BDN2" s="61"/>
      <c r="BDO2" s="61"/>
      <c r="BDP2" s="61"/>
      <c r="BDQ2" s="61"/>
      <c r="BDR2" s="61"/>
      <c r="BDS2" s="61"/>
      <c r="BDT2" s="61"/>
      <c r="BDU2" s="61"/>
      <c r="BDV2" s="61"/>
      <c r="BDW2" s="61"/>
      <c r="BDX2" s="61"/>
      <c r="BDY2" s="61"/>
      <c r="BDZ2" s="61"/>
      <c r="BEA2" s="61"/>
      <c r="BEB2" s="61"/>
      <c r="BEC2" s="61"/>
      <c r="BED2" s="61"/>
      <c r="BEE2" s="61"/>
      <c r="BEF2" s="61"/>
      <c r="BEG2" s="61"/>
      <c r="BEH2" s="61"/>
      <c r="BEI2" s="61"/>
      <c r="BEJ2" s="61"/>
      <c r="BEK2" s="61"/>
      <c r="BEL2" s="61"/>
      <c r="BEM2" s="61"/>
      <c r="BEN2" s="61"/>
      <c r="BEO2" s="61"/>
      <c r="BEP2" s="61"/>
      <c r="BEQ2" s="61"/>
      <c r="BER2" s="61"/>
      <c r="BES2" s="61"/>
      <c r="BET2" s="61"/>
      <c r="BEU2" s="61"/>
      <c r="BEV2" s="61"/>
      <c r="BEW2" s="61"/>
      <c r="BEX2" s="61"/>
      <c r="BEY2" s="61"/>
      <c r="BEZ2" s="61"/>
      <c r="BFA2" s="61"/>
      <c r="BFB2" s="61"/>
      <c r="BFC2" s="61"/>
      <c r="BFD2" s="61"/>
      <c r="BFE2" s="61"/>
      <c r="BFF2" s="61"/>
      <c r="BFG2" s="61"/>
      <c r="BFH2" s="61"/>
      <c r="BFI2" s="61"/>
      <c r="BFJ2" s="61"/>
      <c r="BFK2" s="61"/>
      <c r="BFL2" s="61"/>
      <c r="BFM2" s="61"/>
      <c r="BFN2" s="61"/>
      <c r="BFO2" s="61"/>
      <c r="BFP2" s="61"/>
      <c r="BFQ2" s="61"/>
      <c r="BFR2" s="61"/>
      <c r="BFS2" s="61"/>
      <c r="BFT2" s="61"/>
      <c r="BFU2" s="61"/>
      <c r="BFV2" s="61"/>
      <c r="BFW2" s="61"/>
      <c r="BFX2" s="61"/>
      <c r="BFY2" s="61"/>
      <c r="BFZ2" s="61"/>
      <c r="BGA2" s="61"/>
      <c r="BGB2" s="61"/>
      <c r="BGC2" s="61"/>
      <c r="BGD2" s="61"/>
      <c r="BGE2" s="61"/>
      <c r="BGF2" s="61"/>
      <c r="BGG2" s="61"/>
      <c r="BGH2" s="61"/>
      <c r="BGI2" s="61"/>
      <c r="BGJ2" s="61"/>
      <c r="BGK2" s="61"/>
      <c r="BGL2" s="61"/>
      <c r="BGM2" s="61"/>
      <c r="BGN2" s="61"/>
      <c r="BGO2" s="61"/>
      <c r="BGP2" s="61"/>
      <c r="BGQ2" s="61"/>
      <c r="BGR2" s="61"/>
      <c r="BGS2" s="61"/>
      <c r="BGT2" s="61"/>
      <c r="BGU2" s="61"/>
      <c r="BGV2" s="61"/>
      <c r="BGW2" s="61"/>
      <c r="BGX2" s="61"/>
      <c r="BGY2" s="61"/>
      <c r="BGZ2" s="61"/>
      <c r="BHA2" s="61"/>
      <c r="BHB2" s="61"/>
      <c r="BHC2" s="61"/>
      <c r="BHD2" s="61"/>
      <c r="BHE2" s="61"/>
      <c r="BHF2" s="61"/>
      <c r="BHG2" s="61"/>
      <c r="BHH2" s="61"/>
      <c r="BHI2" s="61"/>
      <c r="BHJ2" s="61"/>
      <c r="BHK2" s="61"/>
      <c r="BHL2" s="61"/>
      <c r="BHM2" s="61"/>
      <c r="BHN2" s="61"/>
      <c r="BHO2" s="61"/>
      <c r="BHP2" s="61"/>
      <c r="BHQ2" s="61"/>
      <c r="BHR2" s="61"/>
      <c r="BHS2" s="61"/>
      <c r="BHT2" s="61"/>
      <c r="BHU2" s="61"/>
      <c r="BHV2" s="61"/>
      <c r="BHW2" s="61"/>
      <c r="BHX2" s="61"/>
      <c r="BHY2" s="61"/>
      <c r="BHZ2" s="61"/>
      <c r="BIA2" s="61"/>
      <c r="BIB2" s="61"/>
      <c r="BIC2" s="61"/>
      <c r="BID2" s="61"/>
      <c r="BIE2" s="61"/>
      <c r="BIF2" s="61"/>
      <c r="BIG2" s="61"/>
      <c r="BIH2" s="61"/>
      <c r="BII2" s="61"/>
      <c r="BIJ2" s="61"/>
      <c r="BIK2" s="61"/>
      <c r="BIL2" s="61"/>
      <c r="BIM2" s="61"/>
      <c r="BIN2" s="61"/>
      <c r="BIO2" s="61"/>
      <c r="BIP2" s="61"/>
      <c r="BIQ2" s="61"/>
      <c r="BIR2" s="61"/>
      <c r="BIS2" s="61"/>
      <c r="BIT2" s="61"/>
      <c r="BIU2" s="61"/>
      <c r="BIV2" s="61"/>
      <c r="BIW2" s="61"/>
      <c r="BIX2" s="61"/>
      <c r="BIY2" s="61"/>
      <c r="BIZ2" s="61"/>
      <c r="BJA2" s="61"/>
      <c r="BJB2" s="61"/>
      <c r="BJC2" s="61"/>
      <c r="BJD2" s="61"/>
      <c r="BJE2" s="61"/>
      <c r="BJF2" s="61"/>
      <c r="BJG2" s="61"/>
      <c r="BJH2" s="61"/>
      <c r="BJI2" s="61"/>
      <c r="BJJ2" s="61"/>
      <c r="BJK2" s="61"/>
      <c r="BJL2" s="61"/>
      <c r="BJM2" s="61"/>
      <c r="BJN2" s="61"/>
      <c r="BJO2" s="61"/>
      <c r="BJP2" s="61"/>
      <c r="BJQ2" s="61"/>
      <c r="BJR2" s="61"/>
      <c r="BJS2" s="61"/>
      <c r="BJT2" s="61"/>
      <c r="BJU2" s="61"/>
      <c r="BJV2" s="61"/>
      <c r="BJW2" s="61"/>
      <c r="BJX2" s="61"/>
      <c r="BJY2" s="61"/>
      <c r="BJZ2" s="61"/>
      <c r="BKA2" s="61"/>
      <c r="BKB2" s="61"/>
      <c r="BKC2" s="61"/>
      <c r="BKD2" s="61"/>
      <c r="BKE2" s="61"/>
      <c r="BKF2" s="61"/>
      <c r="BKG2" s="61"/>
      <c r="BKH2" s="61"/>
      <c r="BKI2" s="61"/>
      <c r="BKJ2" s="61"/>
      <c r="BKK2" s="61"/>
      <c r="BKL2" s="61"/>
      <c r="BKM2" s="61"/>
      <c r="BKN2" s="61"/>
      <c r="BKO2" s="61"/>
      <c r="BKP2" s="61"/>
      <c r="BKQ2" s="61"/>
      <c r="BKR2" s="61"/>
      <c r="BKS2" s="61"/>
      <c r="BKT2" s="61"/>
      <c r="BKU2" s="61"/>
      <c r="BKV2" s="61"/>
      <c r="BKW2" s="61"/>
      <c r="BKX2" s="61"/>
      <c r="BKY2" s="61"/>
      <c r="BKZ2" s="61"/>
      <c r="BLA2" s="61"/>
      <c r="BLB2" s="61"/>
      <c r="BLC2" s="61"/>
      <c r="BLD2" s="61"/>
      <c r="BLE2" s="61"/>
      <c r="BLF2" s="61"/>
      <c r="BLG2" s="61"/>
      <c r="BLH2" s="61"/>
      <c r="BLI2" s="61"/>
      <c r="BLJ2" s="61"/>
      <c r="BLK2" s="61"/>
      <c r="BLL2" s="61"/>
      <c r="BLM2" s="61"/>
      <c r="BLN2" s="61"/>
      <c r="BLO2" s="61"/>
      <c r="BLP2" s="61"/>
      <c r="BLQ2" s="61"/>
      <c r="BLR2" s="61"/>
      <c r="BLS2" s="61"/>
      <c r="BLT2" s="61"/>
      <c r="BLU2" s="61"/>
      <c r="BLV2" s="61"/>
      <c r="BLW2" s="61"/>
      <c r="BLX2" s="61"/>
      <c r="BLY2" s="61"/>
      <c r="BLZ2" s="61"/>
      <c r="BMA2" s="61"/>
      <c r="BMB2" s="61"/>
      <c r="BMC2" s="61"/>
      <c r="BMD2" s="61"/>
      <c r="BME2" s="61"/>
      <c r="BMF2" s="61"/>
      <c r="BMG2" s="61"/>
      <c r="BMH2" s="61"/>
      <c r="BMI2" s="61"/>
      <c r="BMJ2" s="61"/>
      <c r="BMK2" s="61"/>
      <c r="BML2" s="61"/>
      <c r="BMM2" s="61"/>
      <c r="BMN2" s="61"/>
      <c r="BMO2" s="61"/>
      <c r="BMP2" s="61"/>
      <c r="BMQ2" s="61"/>
      <c r="BMR2" s="61"/>
      <c r="BMS2" s="61"/>
      <c r="BMT2" s="61"/>
      <c r="BMU2" s="61"/>
      <c r="BMV2" s="61"/>
      <c r="BMW2" s="61"/>
      <c r="BMX2" s="61"/>
      <c r="BMY2" s="61"/>
      <c r="BMZ2" s="61"/>
      <c r="BNA2" s="61"/>
      <c r="BNB2" s="61"/>
      <c r="BNC2" s="61"/>
      <c r="BND2" s="61"/>
      <c r="BNE2" s="61"/>
      <c r="BNF2" s="61"/>
      <c r="BNG2" s="61"/>
      <c r="BNH2" s="61"/>
      <c r="BNI2" s="61"/>
      <c r="BNJ2" s="61"/>
      <c r="BNK2" s="61"/>
      <c r="BNL2" s="61"/>
      <c r="BNM2" s="61"/>
      <c r="BNN2" s="61"/>
      <c r="BNO2" s="61"/>
      <c r="BNP2" s="61"/>
      <c r="BNQ2" s="61"/>
      <c r="BNR2" s="61"/>
      <c r="BNS2" s="61"/>
      <c r="BNT2" s="61"/>
      <c r="BNU2" s="61"/>
      <c r="BNV2" s="61"/>
      <c r="BNW2" s="61"/>
      <c r="BNX2" s="61"/>
      <c r="BNY2" s="61"/>
      <c r="BNZ2" s="61"/>
      <c r="BOA2" s="61"/>
      <c r="BOB2" s="61"/>
      <c r="BOC2" s="61"/>
      <c r="BOD2" s="61"/>
      <c r="BOE2" s="61"/>
      <c r="BOF2" s="61"/>
      <c r="BOG2" s="61"/>
      <c r="BOH2" s="61"/>
      <c r="BOI2" s="61"/>
      <c r="BOJ2" s="61"/>
      <c r="BOK2" s="61"/>
      <c r="BOL2" s="61"/>
      <c r="BOM2" s="61"/>
      <c r="BON2" s="61"/>
      <c r="BOO2" s="61"/>
      <c r="BOP2" s="61"/>
      <c r="BOQ2" s="61"/>
      <c r="BOR2" s="61"/>
      <c r="BOS2" s="61"/>
      <c r="BOT2" s="61"/>
      <c r="BOU2" s="61"/>
      <c r="BOV2" s="61"/>
      <c r="BOW2" s="61"/>
      <c r="BOX2" s="61"/>
      <c r="BOY2" s="61"/>
      <c r="BOZ2" s="61"/>
      <c r="BPA2" s="61"/>
      <c r="BPB2" s="61"/>
      <c r="BPC2" s="61"/>
      <c r="BPD2" s="61"/>
      <c r="BPE2" s="61"/>
      <c r="BPF2" s="61"/>
      <c r="BPG2" s="61"/>
      <c r="BPH2" s="61"/>
      <c r="BPI2" s="61"/>
      <c r="BPJ2" s="61"/>
      <c r="BPK2" s="61"/>
      <c r="BPL2" s="61"/>
      <c r="BPM2" s="61"/>
      <c r="BPN2" s="61"/>
      <c r="BPO2" s="61"/>
      <c r="BPP2" s="61"/>
      <c r="BPQ2" s="61"/>
      <c r="BPR2" s="61"/>
      <c r="BPS2" s="61"/>
      <c r="BPT2" s="61"/>
      <c r="BPU2" s="61"/>
      <c r="BPV2" s="61"/>
      <c r="BPW2" s="61"/>
      <c r="BPX2" s="61"/>
      <c r="BPY2" s="61"/>
      <c r="BPZ2" s="61"/>
      <c r="BQA2" s="61"/>
      <c r="BQB2" s="61"/>
      <c r="BQC2" s="61"/>
      <c r="BQD2" s="61"/>
      <c r="BQE2" s="61"/>
      <c r="BQF2" s="61"/>
      <c r="BQG2" s="61"/>
      <c r="BQH2" s="61"/>
      <c r="BQI2" s="61"/>
      <c r="BQJ2" s="61"/>
      <c r="BQK2" s="61"/>
      <c r="BQL2" s="61"/>
      <c r="BQM2" s="61"/>
      <c r="BQN2" s="61"/>
      <c r="BQO2" s="61"/>
      <c r="BQP2" s="61"/>
      <c r="BQQ2" s="61"/>
      <c r="BQR2" s="61"/>
      <c r="BQS2" s="61"/>
      <c r="BQT2" s="61"/>
      <c r="BQU2" s="61"/>
      <c r="BQV2" s="61"/>
      <c r="BQW2" s="61"/>
      <c r="BQX2" s="61"/>
      <c r="BQY2" s="61"/>
      <c r="BQZ2" s="61"/>
      <c r="BRA2" s="61"/>
      <c r="BRB2" s="61"/>
      <c r="BRC2" s="61"/>
      <c r="BRD2" s="61"/>
      <c r="BRE2" s="61"/>
      <c r="BRF2" s="61"/>
      <c r="BRG2" s="61"/>
      <c r="BRH2" s="61"/>
      <c r="BRI2" s="61"/>
      <c r="BRJ2" s="61"/>
      <c r="BRK2" s="61"/>
      <c r="BRL2" s="61"/>
      <c r="BRM2" s="61"/>
      <c r="BRN2" s="61"/>
      <c r="BRO2" s="61"/>
      <c r="BRP2" s="61"/>
      <c r="BRQ2" s="61"/>
      <c r="BRR2" s="61"/>
      <c r="BRS2" s="61"/>
      <c r="BRT2" s="61"/>
      <c r="BRU2" s="61"/>
      <c r="BRV2" s="61"/>
      <c r="BRW2" s="61"/>
      <c r="BRX2" s="61"/>
      <c r="BRY2" s="61"/>
      <c r="BRZ2" s="61"/>
      <c r="BSA2" s="61"/>
      <c r="BSB2" s="61"/>
      <c r="BSC2" s="61"/>
      <c r="BSD2" s="61"/>
      <c r="BSE2" s="61"/>
      <c r="BSF2" s="61"/>
      <c r="BSG2" s="61"/>
      <c r="BSH2" s="61"/>
      <c r="BSI2" s="61"/>
      <c r="BSJ2" s="61"/>
      <c r="BSK2" s="61"/>
      <c r="BSL2" s="61"/>
      <c r="BSM2" s="61"/>
      <c r="BSN2" s="61"/>
      <c r="BSO2" s="61"/>
      <c r="BSP2" s="61"/>
      <c r="BSQ2" s="61"/>
      <c r="BSR2" s="61"/>
      <c r="BSS2" s="61"/>
      <c r="BST2" s="61"/>
      <c r="BSU2" s="61"/>
      <c r="BSV2" s="61"/>
      <c r="BSW2" s="61"/>
      <c r="BSX2" s="61"/>
      <c r="BSY2" s="61"/>
      <c r="BSZ2" s="61"/>
      <c r="BTA2" s="61"/>
      <c r="BTB2" s="61"/>
      <c r="BTC2" s="61"/>
      <c r="BTD2" s="61"/>
      <c r="BTE2" s="61"/>
      <c r="BTF2" s="61"/>
      <c r="BTG2" s="61"/>
      <c r="BTH2" s="61"/>
      <c r="BTI2" s="61"/>
      <c r="BTJ2" s="61"/>
      <c r="BTK2" s="61"/>
      <c r="BTL2" s="61"/>
      <c r="BTM2" s="61"/>
      <c r="BTN2" s="61"/>
      <c r="BTO2" s="61"/>
      <c r="BTP2" s="61"/>
      <c r="BTQ2" s="61"/>
      <c r="BTR2" s="61"/>
      <c r="BTS2" s="61"/>
      <c r="BTT2" s="61"/>
      <c r="BTU2" s="61"/>
      <c r="BTV2" s="61"/>
      <c r="BTW2" s="61"/>
      <c r="BTX2" s="61"/>
      <c r="BTY2" s="61"/>
      <c r="BTZ2" s="61"/>
      <c r="BUA2" s="61"/>
      <c r="BUB2" s="61"/>
      <c r="BUC2" s="61"/>
      <c r="BUD2" s="61"/>
      <c r="BUE2" s="61"/>
      <c r="BUF2" s="61"/>
      <c r="BUG2" s="61"/>
      <c r="BUH2" s="61"/>
      <c r="BUI2" s="61"/>
      <c r="BUJ2" s="61"/>
      <c r="BUK2" s="61"/>
      <c r="BUL2" s="61"/>
      <c r="BUM2" s="61"/>
      <c r="BUN2" s="61"/>
      <c r="BUO2" s="61"/>
      <c r="BUP2" s="61"/>
      <c r="BUQ2" s="61"/>
      <c r="BUR2" s="61"/>
      <c r="BUS2" s="61"/>
      <c r="BUT2" s="61"/>
      <c r="BUU2" s="61"/>
      <c r="BUV2" s="61"/>
      <c r="BUW2" s="61"/>
      <c r="BUX2" s="61"/>
      <c r="BUY2" s="61"/>
      <c r="BUZ2" s="61"/>
      <c r="BVA2" s="61"/>
      <c r="BVB2" s="61"/>
      <c r="BVC2" s="61"/>
      <c r="BVD2" s="61"/>
      <c r="BVE2" s="61"/>
      <c r="BVF2" s="61"/>
      <c r="BVG2" s="61"/>
      <c r="BVH2" s="61"/>
      <c r="BVI2" s="61"/>
      <c r="BVJ2" s="61"/>
      <c r="BVK2" s="61"/>
      <c r="BVL2" s="61"/>
      <c r="BVM2" s="61"/>
      <c r="BVN2" s="61"/>
      <c r="BVO2" s="61"/>
      <c r="BVP2" s="61"/>
      <c r="BVQ2" s="61"/>
      <c r="BVR2" s="61"/>
      <c r="BVS2" s="61"/>
      <c r="BVT2" s="61"/>
      <c r="BVU2" s="61"/>
      <c r="BVV2" s="61"/>
      <c r="BVW2" s="61"/>
      <c r="BVX2" s="61"/>
      <c r="BVY2" s="61"/>
      <c r="BVZ2" s="61"/>
      <c r="BWA2" s="61"/>
      <c r="BWB2" s="61"/>
      <c r="BWC2" s="61"/>
      <c r="BWD2" s="61"/>
      <c r="BWE2" s="61"/>
      <c r="BWF2" s="61"/>
      <c r="BWG2" s="61"/>
      <c r="BWH2" s="61"/>
      <c r="BWI2" s="61"/>
      <c r="BWJ2" s="61"/>
      <c r="BWK2" s="61"/>
      <c r="BWL2" s="61"/>
      <c r="BWM2" s="61"/>
      <c r="BWN2" s="61"/>
      <c r="BWO2" s="61"/>
      <c r="BWP2" s="61"/>
      <c r="BWQ2" s="61"/>
      <c r="BWR2" s="61"/>
      <c r="BWS2" s="61"/>
      <c r="BWT2" s="61"/>
      <c r="BWU2" s="61"/>
      <c r="BWV2" s="61"/>
      <c r="BWW2" s="61"/>
      <c r="BWX2" s="61"/>
      <c r="BWY2" s="61"/>
      <c r="BWZ2" s="61"/>
      <c r="BXA2" s="61"/>
      <c r="BXB2" s="61"/>
      <c r="BXC2" s="61"/>
      <c r="BXD2" s="61"/>
      <c r="BXE2" s="61"/>
      <c r="BXF2" s="61"/>
      <c r="BXG2" s="61"/>
      <c r="BXH2" s="61"/>
      <c r="BXI2" s="61"/>
      <c r="BXJ2" s="61"/>
      <c r="BXK2" s="61"/>
      <c r="BXL2" s="61"/>
      <c r="BXM2" s="61"/>
      <c r="BXN2" s="61"/>
      <c r="BXO2" s="61"/>
      <c r="BXP2" s="61"/>
      <c r="BXQ2" s="61"/>
      <c r="BXR2" s="61"/>
      <c r="BXS2" s="61"/>
      <c r="BXT2" s="61"/>
      <c r="BXU2" s="61"/>
      <c r="BXV2" s="61"/>
      <c r="BXW2" s="61"/>
      <c r="BXX2" s="61"/>
      <c r="BXY2" s="61"/>
      <c r="BXZ2" s="61"/>
      <c r="BYA2" s="61"/>
      <c r="BYB2" s="61"/>
      <c r="BYC2" s="61"/>
      <c r="BYD2" s="61"/>
      <c r="BYE2" s="61"/>
      <c r="BYF2" s="61"/>
      <c r="BYG2" s="61"/>
      <c r="BYH2" s="61"/>
      <c r="BYI2" s="61"/>
      <c r="BYJ2" s="61"/>
      <c r="BYK2" s="61"/>
      <c r="BYL2" s="61"/>
      <c r="BYM2" s="61"/>
      <c r="BYN2" s="61"/>
      <c r="BYO2" s="61"/>
      <c r="BYP2" s="61"/>
      <c r="BYQ2" s="61"/>
      <c r="BYR2" s="61"/>
      <c r="BYS2" s="61"/>
      <c r="BYT2" s="61"/>
      <c r="BYU2" s="61"/>
      <c r="BYV2" s="61"/>
      <c r="BYW2" s="61"/>
      <c r="BYX2" s="61"/>
      <c r="BYY2" s="61"/>
      <c r="BYZ2" s="61"/>
      <c r="BZA2" s="61"/>
      <c r="BZB2" s="61"/>
      <c r="BZC2" s="61"/>
      <c r="BZD2" s="61"/>
      <c r="BZE2" s="61"/>
      <c r="BZF2" s="61"/>
      <c r="BZG2" s="61"/>
      <c r="BZH2" s="61"/>
      <c r="BZI2" s="61"/>
      <c r="BZJ2" s="61"/>
      <c r="BZK2" s="61"/>
      <c r="BZL2" s="61"/>
      <c r="BZM2" s="61"/>
      <c r="BZN2" s="61"/>
      <c r="BZO2" s="61"/>
      <c r="BZP2" s="61"/>
      <c r="BZQ2" s="61"/>
      <c r="BZR2" s="61"/>
      <c r="BZS2" s="61"/>
      <c r="BZT2" s="61"/>
      <c r="BZU2" s="61"/>
      <c r="BZV2" s="61"/>
      <c r="BZW2" s="61"/>
      <c r="BZX2" s="61"/>
      <c r="BZY2" s="61"/>
      <c r="BZZ2" s="61"/>
      <c r="CAA2" s="61"/>
      <c r="CAB2" s="61"/>
      <c r="CAC2" s="61"/>
      <c r="CAD2" s="61"/>
      <c r="CAE2" s="61"/>
      <c r="CAF2" s="61"/>
      <c r="CAG2" s="61"/>
      <c r="CAH2" s="61"/>
      <c r="CAI2" s="61"/>
      <c r="CAJ2" s="61"/>
      <c r="CAK2" s="61"/>
      <c r="CAL2" s="61"/>
      <c r="CAM2" s="61"/>
      <c r="CAN2" s="61"/>
      <c r="CAO2" s="61"/>
      <c r="CAP2" s="61"/>
      <c r="CAQ2" s="61"/>
      <c r="CAR2" s="61"/>
      <c r="CAS2" s="61"/>
      <c r="CAT2" s="61"/>
      <c r="CAU2" s="61"/>
      <c r="CAV2" s="61"/>
      <c r="CAW2" s="61"/>
      <c r="CAX2" s="61"/>
      <c r="CAY2" s="61"/>
      <c r="CAZ2" s="61"/>
      <c r="CBA2" s="61"/>
      <c r="CBB2" s="61"/>
      <c r="CBC2" s="61"/>
      <c r="CBD2" s="61"/>
      <c r="CBE2" s="61"/>
      <c r="CBF2" s="61"/>
      <c r="CBG2" s="61"/>
      <c r="CBH2" s="61"/>
      <c r="CBI2" s="61"/>
      <c r="CBJ2" s="61"/>
      <c r="CBK2" s="61"/>
      <c r="CBL2" s="61"/>
      <c r="CBM2" s="61"/>
      <c r="CBN2" s="61"/>
      <c r="CBO2" s="61"/>
      <c r="CBP2" s="61"/>
      <c r="CBQ2" s="61"/>
      <c r="CBR2" s="61"/>
      <c r="CBS2" s="61"/>
      <c r="CBT2" s="61"/>
      <c r="CBU2" s="61"/>
      <c r="CBV2" s="61"/>
      <c r="CBW2" s="61"/>
      <c r="CBX2" s="61"/>
      <c r="CBY2" s="61"/>
      <c r="CBZ2" s="61"/>
      <c r="CCA2" s="61"/>
      <c r="CCB2" s="61"/>
      <c r="CCC2" s="61"/>
      <c r="CCD2" s="61"/>
      <c r="CCE2" s="61"/>
      <c r="CCF2" s="61"/>
      <c r="CCG2" s="61"/>
      <c r="CCH2" s="61"/>
      <c r="CCI2" s="61"/>
      <c r="CCJ2" s="61"/>
      <c r="CCK2" s="61"/>
      <c r="CCL2" s="61"/>
      <c r="CCM2" s="61"/>
      <c r="CCN2" s="61"/>
      <c r="CCO2" s="61"/>
      <c r="CCP2" s="61"/>
      <c r="CCQ2" s="61"/>
      <c r="CCR2" s="61"/>
      <c r="CCS2" s="61"/>
      <c r="CCT2" s="61"/>
      <c r="CCU2" s="61"/>
      <c r="CCV2" s="61"/>
      <c r="CCW2" s="61"/>
      <c r="CCX2" s="61"/>
      <c r="CCY2" s="61"/>
      <c r="CCZ2" s="61"/>
      <c r="CDA2" s="61"/>
      <c r="CDB2" s="61"/>
      <c r="CDC2" s="61"/>
      <c r="CDD2" s="61"/>
      <c r="CDE2" s="61"/>
      <c r="CDF2" s="61"/>
      <c r="CDG2" s="61"/>
      <c r="CDH2" s="61"/>
      <c r="CDI2" s="61"/>
      <c r="CDJ2" s="61"/>
      <c r="CDK2" s="61"/>
      <c r="CDL2" s="61"/>
      <c r="CDM2" s="61"/>
      <c r="CDN2" s="61"/>
      <c r="CDO2" s="61"/>
      <c r="CDP2" s="61"/>
      <c r="CDQ2" s="61"/>
      <c r="CDR2" s="61"/>
      <c r="CDS2" s="61"/>
      <c r="CDT2" s="61"/>
      <c r="CDU2" s="61"/>
      <c r="CDV2" s="61"/>
      <c r="CDW2" s="61"/>
      <c r="CDX2" s="61"/>
      <c r="CDY2" s="61"/>
      <c r="CDZ2" s="61"/>
      <c r="CEA2" s="61"/>
      <c r="CEB2" s="61"/>
      <c r="CEC2" s="61"/>
      <c r="CED2" s="61"/>
      <c r="CEE2" s="61"/>
      <c r="CEF2" s="61"/>
      <c r="CEG2" s="61"/>
      <c r="CEH2" s="61"/>
      <c r="CEI2" s="61"/>
      <c r="CEJ2" s="61"/>
      <c r="CEK2" s="61"/>
      <c r="CEL2" s="61"/>
      <c r="CEM2" s="61"/>
      <c r="CEN2" s="61"/>
      <c r="CEO2" s="61"/>
      <c r="CEP2" s="61"/>
      <c r="CEQ2" s="61"/>
      <c r="CER2" s="61"/>
      <c r="CES2" s="61"/>
      <c r="CET2" s="61"/>
      <c r="CEU2" s="61"/>
      <c r="CEV2" s="61"/>
      <c r="CEW2" s="61"/>
      <c r="CEX2" s="61"/>
      <c r="CEY2" s="61"/>
      <c r="CEZ2" s="61"/>
      <c r="CFA2" s="61"/>
      <c r="CFB2" s="61"/>
      <c r="CFC2" s="61"/>
      <c r="CFD2" s="61"/>
      <c r="CFE2" s="61"/>
      <c r="CFF2" s="61"/>
      <c r="CFG2" s="61"/>
      <c r="CFH2" s="61"/>
      <c r="CFI2" s="61"/>
      <c r="CFJ2" s="61"/>
      <c r="CFK2" s="61"/>
      <c r="CFL2" s="61"/>
      <c r="CFM2" s="61"/>
      <c r="CFN2" s="61"/>
      <c r="CFO2" s="61"/>
      <c r="CFP2" s="61"/>
      <c r="CFQ2" s="61"/>
      <c r="CFR2" s="61"/>
      <c r="CFS2" s="61"/>
      <c r="CFT2" s="61"/>
      <c r="CFU2" s="61"/>
      <c r="CFV2" s="61"/>
      <c r="CFW2" s="61"/>
      <c r="CFX2" s="61"/>
      <c r="CFY2" s="61"/>
      <c r="CFZ2" s="61"/>
      <c r="CGA2" s="61"/>
      <c r="CGB2" s="61"/>
      <c r="CGC2" s="61"/>
      <c r="CGD2" s="61"/>
      <c r="CGE2" s="61"/>
      <c r="CGF2" s="61"/>
      <c r="CGG2" s="61"/>
      <c r="CGH2" s="61"/>
      <c r="CGI2" s="61"/>
      <c r="CGJ2" s="61"/>
      <c r="CGK2" s="61"/>
      <c r="CGL2" s="61"/>
      <c r="CGM2" s="61"/>
      <c r="CGN2" s="61"/>
      <c r="CGO2" s="61"/>
      <c r="CGP2" s="61"/>
      <c r="CGQ2" s="61"/>
      <c r="CGR2" s="61"/>
      <c r="CGS2" s="61"/>
      <c r="CGT2" s="61"/>
      <c r="CGU2" s="61"/>
      <c r="CGV2" s="61"/>
      <c r="CGW2" s="61"/>
      <c r="CGX2" s="61"/>
      <c r="CGY2" s="61"/>
      <c r="CGZ2" s="61"/>
      <c r="CHA2" s="61"/>
      <c r="CHB2" s="61"/>
      <c r="CHC2" s="61"/>
      <c r="CHD2" s="61"/>
      <c r="CHE2" s="61"/>
      <c r="CHF2" s="61"/>
      <c r="CHG2" s="61"/>
      <c r="CHH2" s="61"/>
      <c r="CHI2" s="61"/>
      <c r="CHJ2" s="61"/>
      <c r="CHK2" s="61"/>
      <c r="CHL2" s="61"/>
      <c r="CHM2" s="61"/>
      <c r="CHN2" s="61"/>
      <c r="CHO2" s="61"/>
      <c r="CHP2" s="61"/>
      <c r="CHQ2" s="61"/>
      <c r="CHR2" s="61"/>
      <c r="CHS2" s="61"/>
      <c r="CHT2" s="61"/>
      <c r="CHU2" s="61"/>
      <c r="CHV2" s="61"/>
      <c r="CHW2" s="61"/>
      <c r="CHX2" s="61"/>
      <c r="CHY2" s="61"/>
      <c r="CHZ2" s="61"/>
      <c r="CIA2" s="61"/>
      <c r="CIB2" s="61"/>
      <c r="CIC2" s="61"/>
      <c r="CID2" s="61"/>
      <c r="CIE2" s="61"/>
      <c r="CIF2" s="61"/>
      <c r="CIG2" s="61"/>
      <c r="CIH2" s="61"/>
      <c r="CII2" s="61"/>
      <c r="CIJ2" s="61"/>
      <c r="CIK2" s="61"/>
      <c r="CIL2" s="61"/>
      <c r="CIM2" s="61"/>
      <c r="CIN2" s="61"/>
      <c r="CIO2" s="61"/>
      <c r="CIP2" s="61"/>
      <c r="CIQ2" s="61"/>
      <c r="CIR2" s="61"/>
      <c r="CIS2" s="61"/>
      <c r="CIT2" s="61"/>
      <c r="CIU2" s="61"/>
      <c r="CIV2" s="61"/>
      <c r="CIW2" s="61"/>
      <c r="CIX2" s="61"/>
      <c r="CIY2" s="61"/>
      <c r="CIZ2" s="61"/>
      <c r="CJA2" s="61"/>
      <c r="CJB2" s="61"/>
      <c r="CJC2" s="61"/>
      <c r="CJD2" s="61"/>
      <c r="CJE2" s="61"/>
      <c r="CJF2" s="61"/>
      <c r="CJG2" s="61"/>
      <c r="CJH2" s="61"/>
      <c r="CJI2" s="61"/>
      <c r="CJJ2" s="61"/>
      <c r="CJK2" s="61"/>
      <c r="CJL2" s="61"/>
      <c r="CJM2" s="61"/>
      <c r="CJN2" s="61"/>
      <c r="CJO2" s="61"/>
      <c r="CJP2" s="61"/>
      <c r="CJQ2" s="61"/>
      <c r="CJR2" s="61"/>
      <c r="CJS2" s="61"/>
      <c r="CJT2" s="61"/>
      <c r="CJU2" s="61"/>
      <c r="CJV2" s="61"/>
      <c r="CJW2" s="61"/>
      <c r="CJX2" s="61"/>
      <c r="CJY2" s="61"/>
      <c r="CJZ2" s="61"/>
      <c r="CKA2" s="61"/>
      <c r="CKB2" s="61"/>
      <c r="CKC2" s="61"/>
      <c r="CKD2" s="61"/>
      <c r="CKE2" s="61"/>
      <c r="CKF2" s="61"/>
      <c r="CKG2" s="61"/>
      <c r="CKH2" s="61"/>
      <c r="CKI2" s="61"/>
      <c r="CKJ2" s="61"/>
      <c r="CKK2" s="61"/>
      <c r="CKL2" s="61"/>
      <c r="CKM2" s="61"/>
      <c r="CKN2" s="61"/>
      <c r="CKO2" s="61"/>
      <c r="CKP2" s="61"/>
      <c r="CKQ2" s="61"/>
      <c r="CKR2" s="61"/>
      <c r="CKS2" s="61"/>
      <c r="CKT2" s="61"/>
      <c r="CKU2" s="61"/>
      <c r="CKV2" s="61"/>
      <c r="CKW2" s="61"/>
      <c r="CKX2" s="61"/>
      <c r="CKY2" s="61"/>
      <c r="CKZ2" s="61"/>
      <c r="CLA2" s="61"/>
      <c r="CLB2" s="61"/>
      <c r="CLC2" s="61"/>
      <c r="CLD2" s="61"/>
      <c r="CLE2" s="61"/>
      <c r="CLF2" s="61"/>
      <c r="CLG2" s="61"/>
      <c r="CLH2" s="61"/>
      <c r="CLI2" s="61"/>
      <c r="CLJ2" s="61"/>
      <c r="CLK2" s="61"/>
      <c r="CLL2" s="61"/>
      <c r="CLM2" s="61"/>
      <c r="CLN2" s="61"/>
      <c r="CLO2" s="61"/>
      <c r="CLP2" s="61"/>
      <c r="CLQ2" s="61"/>
      <c r="CLR2" s="61"/>
      <c r="CLS2" s="61"/>
      <c r="CLT2" s="61"/>
      <c r="CLU2" s="61"/>
      <c r="CLV2" s="61"/>
      <c r="CLW2" s="61"/>
      <c r="CLX2" s="61"/>
      <c r="CLY2" s="61"/>
      <c r="CLZ2" s="61"/>
      <c r="CMA2" s="61"/>
      <c r="CMB2" s="61"/>
      <c r="CMC2" s="61"/>
      <c r="CMD2" s="61"/>
      <c r="CME2" s="61"/>
      <c r="CMF2" s="61"/>
      <c r="CMG2" s="61"/>
      <c r="CMH2" s="61"/>
      <c r="CMI2" s="61"/>
      <c r="CMJ2" s="61"/>
      <c r="CMK2" s="61"/>
      <c r="CML2" s="61"/>
      <c r="CMM2" s="61"/>
      <c r="CMN2" s="61"/>
      <c r="CMO2" s="61"/>
      <c r="CMP2" s="61"/>
      <c r="CMQ2" s="61"/>
      <c r="CMR2" s="61"/>
      <c r="CMS2" s="61"/>
      <c r="CMT2" s="61"/>
      <c r="CMU2" s="61"/>
      <c r="CMV2" s="61"/>
      <c r="CMW2" s="61"/>
      <c r="CMX2" s="61"/>
      <c r="CMY2" s="61"/>
      <c r="CMZ2" s="61"/>
      <c r="CNA2" s="61"/>
      <c r="CNB2" s="61"/>
      <c r="CNC2" s="61"/>
      <c r="CND2" s="61"/>
      <c r="CNE2" s="61"/>
      <c r="CNF2" s="61"/>
      <c r="CNG2" s="61"/>
      <c r="CNH2" s="61"/>
      <c r="CNI2" s="61"/>
      <c r="CNJ2" s="61"/>
      <c r="CNK2" s="61"/>
      <c r="CNL2" s="61"/>
      <c r="CNM2" s="61"/>
      <c r="CNN2" s="61"/>
      <c r="CNO2" s="61"/>
      <c r="CNP2" s="61"/>
      <c r="CNQ2" s="61"/>
      <c r="CNR2" s="61"/>
      <c r="CNS2" s="61"/>
      <c r="CNT2" s="61"/>
      <c r="CNU2" s="61"/>
      <c r="CNV2" s="61"/>
      <c r="CNW2" s="61"/>
      <c r="CNX2" s="61"/>
      <c r="CNY2" s="61"/>
      <c r="CNZ2" s="61"/>
      <c r="COA2" s="61"/>
      <c r="COB2" s="61"/>
      <c r="COC2" s="61"/>
      <c r="COD2" s="61"/>
      <c r="COE2" s="61"/>
      <c r="COF2" s="61"/>
      <c r="COG2" s="61"/>
      <c r="COH2" s="61"/>
      <c r="COI2" s="61"/>
      <c r="COJ2" s="61"/>
      <c r="COK2" s="61"/>
      <c r="COL2" s="61"/>
      <c r="COM2" s="61"/>
      <c r="CON2" s="61"/>
      <c r="COO2" s="61"/>
      <c r="COP2" s="61"/>
      <c r="COQ2" s="61"/>
      <c r="COR2" s="61"/>
      <c r="COS2" s="61"/>
      <c r="COT2" s="61"/>
      <c r="COU2" s="61"/>
      <c r="COV2" s="61"/>
      <c r="COW2" s="61"/>
      <c r="COX2" s="61"/>
      <c r="COY2" s="61"/>
      <c r="COZ2" s="61"/>
      <c r="CPA2" s="61"/>
      <c r="CPB2" s="61"/>
      <c r="CPC2" s="61"/>
      <c r="CPD2" s="61"/>
      <c r="CPE2" s="61"/>
      <c r="CPF2" s="61"/>
      <c r="CPG2" s="61"/>
      <c r="CPH2" s="61"/>
      <c r="CPI2" s="61"/>
      <c r="CPJ2" s="61"/>
      <c r="CPK2" s="61"/>
      <c r="CPL2" s="61"/>
      <c r="CPM2" s="61"/>
      <c r="CPN2" s="61"/>
      <c r="CPO2" s="61"/>
      <c r="CPP2" s="61"/>
      <c r="CPQ2" s="61"/>
      <c r="CPR2" s="61"/>
      <c r="CPS2" s="61"/>
      <c r="CPT2" s="61"/>
      <c r="CPU2" s="61"/>
      <c r="CPV2" s="61"/>
      <c r="CPW2" s="61"/>
      <c r="CPX2" s="61"/>
      <c r="CPY2" s="61"/>
      <c r="CPZ2" s="61"/>
      <c r="CQA2" s="61"/>
      <c r="CQB2" s="61"/>
      <c r="CQC2" s="61"/>
      <c r="CQD2" s="61"/>
      <c r="CQE2" s="61"/>
      <c r="CQF2" s="61"/>
      <c r="CQG2" s="61"/>
      <c r="CQH2" s="61"/>
      <c r="CQI2" s="61"/>
      <c r="CQJ2" s="61"/>
      <c r="CQK2" s="61"/>
      <c r="CQL2" s="61"/>
      <c r="CQM2" s="61"/>
      <c r="CQN2" s="61"/>
      <c r="CQO2" s="61"/>
      <c r="CQP2" s="61"/>
      <c r="CQQ2" s="61"/>
      <c r="CQR2" s="61"/>
      <c r="CQS2" s="61"/>
      <c r="CQT2" s="61"/>
      <c r="CQU2" s="61"/>
      <c r="CQV2" s="61"/>
      <c r="CQW2" s="61"/>
      <c r="CQX2" s="61"/>
      <c r="CQY2" s="61"/>
      <c r="CQZ2" s="61"/>
      <c r="CRA2" s="61"/>
      <c r="CRB2" s="61"/>
      <c r="CRC2" s="61"/>
      <c r="CRD2" s="61"/>
      <c r="CRE2" s="61"/>
      <c r="CRF2" s="61"/>
      <c r="CRG2" s="61"/>
      <c r="CRH2" s="61"/>
      <c r="CRI2" s="61"/>
      <c r="CRJ2" s="61"/>
      <c r="CRK2" s="61"/>
      <c r="CRL2" s="61"/>
      <c r="CRM2" s="61"/>
      <c r="CRN2" s="61"/>
      <c r="CRO2" s="61"/>
      <c r="CRP2" s="61"/>
      <c r="CRQ2" s="61"/>
      <c r="CRR2" s="61"/>
      <c r="CRS2" s="61"/>
      <c r="CRT2" s="61"/>
      <c r="CRU2" s="61"/>
      <c r="CRV2" s="61"/>
      <c r="CRW2" s="61"/>
      <c r="CRX2" s="61"/>
      <c r="CRY2" s="61"/>
      <c r="CRZ2" s="61"/>
      <c r="CSA2" s="61"/>
      <c r="CSB2" s="61"/>
      <c r="CSC2" s="61"/>
      <c r="CSD2" s="61"/>
      <c r="CSE2" s="61"/>
      <c r="CSF2" s="61"/>
      <c r="CSG2" s="61"/>
      <c r="CSH2" s="61"/>
      <c r="CSI2" s="61"/>
      <c r="CSJ2" s="61"/>
      <c r="CSK2" s="61"/>
      <c r="CSL2" s="61"/>
      <c r="CSM2" s="61"/>
      <c r="CSN2" s="61"/>
      <c r="CSO2" s="61"/>
      <c r="CSP2" s="61"/>
      <c r="CSQ2" s="61"/>
      <c r="CSR2" s="61"/>
      <c r="CSS2" s="61"/>
      <c r="CST2" s="61"/>
      <c r="CSU2" s="61"/>
      <c r="CSV2" s="61"/>
      <c r="CSW2" s="61"/>
      <c r="CSX2" s="61"/>
      <c r="CSY2" s="61"/>
      <c r="CSZ2" s="61"/>
      <c r="CTA2" s="61"/>
      <c r="CTB2" s="61"/>
      <c r="CTC2" s="61"/>
      <c r="CTD2" s="61"/>
      <c r="CTE2" s="61"/>
      <c r="CTF2" s="61"/>
      <c r="CTG2" s="61"/>
      <c r="CTH2" s="61"/>
      <c r="CTI2" s="61"/>
      <c r="CTJ2" s="61"/>
      <c r="CTK2" s="61"/>
      <c r="CTL2" s="61"/>
      <c r="CTM2" s="61"/>
      <c r="CTN2" s="61"/>
      <c r="CTO2" s="61"/>
      <c r="CTP2" s="61"/>
      <c r="CTQ2" s="61"/>
      <c r="CTR2" s="61"/>
      <c r="CTS2" s="61"/>
      <c r="CTT2" s="61"/>
      <c r="CTU2" s="61"/>
      <c r="CTV2" s="61"/>
      <c r="CTW2" s="61"/>
      <c r="CTX2" s="61"/>
      <c r="CTY2" s="61"/>
      <c r="CTZ2" s="61"/>
      <c r="CUA2" s="61"/>
      <c r="CUB2" s="61"/>
      <c r="CUC2" s="61"/>
      <c r="CUD2" s="61"/>
      <c r="CUE2" s="61"/>
      <c r="CUF2" s="61"/>
      <c r="CUG2" s="61"/>
      <c r="CUH2" s="61"/>
      <c r="CUI2" s="61"/>
      <c r="CUJ2" s="61"/>
      <c r="CUK2" s="61"/>
      <c r="CUL2" s="61"/>
      <c r="CUM2" s="61"/>
      <c r="CUN2" s="61"/>
      <c r="CUO2" s="61"/>
      <c r="CUP2" s="61"/>
      <c r="CUQ2" s="61"/>
      <c r="CUR2" s="61"/>
      <c r="CUS2" s="61"/>
      <c r="CUT2" s="61"/>
      <c r="CUU2" s="61"/>
      <c r="CUV2" s="61"/>
      <c r="CUW2" s="61"/>
      <c r="CUX2" s="61"/>
      <c r="CUY2" s="61"/>
      <c r="CUZ2" s="61"/>
      <c r="CVA2" s="61"/>
      <c r="CVB2" s="61"/>
      <c r="CVC2" s="61"/>
      <c r="CVD2" s="61"/>
      <c r="CVE2" s="61"/>
      <c r="CVF2" s="61"/>
      <c r="CVG2" s="61"/>
      <c r="CVH2" s="61"/>
      <c r="CVI2" s="61"/>
      <c r="CVJ2" s="61"/>
      <c r="CVK2" s="61"/>
      <c r="CVL2" s="61"/>
      <c r="CVM2" s="61"/>
      <c r="CVN2" s="61"/>
      <c r="CVO2" s="61"/>
      <c r="CVP2" s="61"/>
      <c r="CVQ2" s="61"/>
      <c r="CVR2" s="61"/>
      <c r="CVS2" s="61"/>
      <c r="CVT2" s="61"/>
      <c r="CVU2" s="61"/>
      <c r="CVV2" s="61"/>
      <c r="CVW2" s="61"/>
      <c r="CVX2" s="61"/>
      <c r="CVY2" s="61"/>
      <c r="CVZ2" s="61"/>
      <c r="CWA2" s="61"/>
      <c r="CWB2" s="61"/>
      <c r="CWC2" s="61"/>
      <c r="CWD2" s="61"/>
      <c r="CWE2" s="61"/>
      <c r="CWF2" s="61"/>
      <c r="CWG2" s="61"/>
      <c r="CWH2" s="61"/>
      <c r="CWI2" s="61"/>
      <c r="CWJ2" s="61"/>
      <c r="CWK2" s="61"/>
      <c r="CWL2" s="61"/>
      <c r="CWM2" s="61"/>
      <c r="CWN2" s="61"/>
      <c r="CWO2" s="61"/>
      <c r="CWP2" s="61"/>
      <c r="CWQ2" s="61"/>
      <c r="CWR2" s="61"/>
      <c r="CWS2" s="61"/>
      <c r="CWT2" s="61"/>
      <c r="CWU2" s="61"/>
      <c r="CWV2" s="61"/>
      <c r="CWW2" s="61"/>
      <c r="CWX2" s="61"/>
      <c r="CWY2" s="61"/>
      <c r="CWZ2" s="61"/>
      <c r="CXA2" s="61"/>
      <c r="CXB2" s="61"/>
      <c r="CXC2" s="61"/>
      <c r="CXD2" s="61"/>
      <c r="CXE2" s="61"/>
      <c r="CXF2" s="61"/>
      <c r="CXG2" s="61"/>
      <c r="CXH2" s="61"/>
      <c r="CXI2" s="61"/>
      <c r="CXJ2" s="61"/>
      <c r="CXK2" s="61"/>
      <c r="CXL2" s="61"/>
      <c r="CXM2" s="61"/>
      <c r="CXN2" s="61"/>
      <c r="CXO2" s="61"/>
      <c r="CXP2" s="61"/>
      <c r="CXQ2" s="61"/>
      <c r="CXR2" s="61"/>
      <c r="CXS2" s="61"/>
      <c r="CXT2" s="61"/>
      <c r="CXU2" s="61"/>
      <c r="CXV2" s="61"/>
      <c r="CXW2" s="61"/>
      <c r="CXX2" s="61"/>
      <c r="CXY2" s="61"/>
      <c r="CXZ2" s="61"/>
      <c r="CYA2" s="61"/>
      <c r="CYB2" s="61"/>
      <c r="CYC2" s="61"/>
      <c r="CYD2" s="61"/>
      <c r="CYE2" s="61"/>
      <c r="CYF2" s="61"/>
      <c r="CYG2" s="61"/>
      <c r="CYH2" s="61"/>
      <c r="CYI2" s="61"/>
      <c r="CYJ2" s="61"/>
      <c r="CYK2" s="61"/>
      <c r="CYL2" s="61"/>
      <c r="CYM2" s="61"/>
      <c r="CYN2" s="61"/>
      <c r="CYO2" s="61"/>
      <c r="CYP2" s="61"/>
      <c r="CYQ2" s="61"/>
      <c r="CYR2" s="61"/>
      <c r="CYS2" s="61"/>
      <c r="CYT2" s="61"/>
      <c r="CYU2" s="61"/>
      <c r="CYV2" s="61"/>
      <c r="CYW2" s="61"/>
      <c r="CYX2" s="61"/>
      <c r="CYY2" s="61"/>
      <c r="CYZ2" s="61"/>
      <c r="CZA2" s="61"/>
      <c r="CZB2" s="61"/>
      <c r="CZC2" s="61"/>
      <c r="CZD2" s="61"/>
      <c r="CZE2" s="61"/>
      <c r="CZF2" s="61"/>
      <c r="CZG2" s="61"/>
      <c r="CZH2" s="61"/>
      <c r="CZI2" s="61"/>
      <c r="CZJ2" s="61"/>
      <c r="CZK2" s="61"/>
      <c r="CZL2" s="61"/>
      <c r="CZM2" s="61"/>
      <c r="CZN2" s="61"/>
      <c r="CZO2" s="61"/>
      <c r="CZP2" s="61"/>
      <c r="CZQ2" s="61"/>
      <c r="CZR2" s="61"/>
      <c r="CZS2" s="61"/>
      <c r="CZT2" s="61"/>
      <c r="CZU2" s="61"/>
      <c r="CZV2" s="61"/>
      <c r="CZW2" s="61"/>
      <c r="CZX2" s="61"/>
      <c r="CZY2" s="61"/>
      <c r="CZZ2" s="61"/>
      <c r="DAA2" s="61"/>
      <c r="DAB2" s="61"/>
      <c r="DAC2" s="61"/>
      <c r="DAD2" s="61"/>
      <c r="DAE2" s="61"/>
      <c r="DAF2" s="61"/>
      <c r="DAG2" s="61"/>
      <c r="DAH2" s="61"/>
      <c r="DAI2" s="61"/>
      <c r="DAJ2" s="61"/>
      <c r="DAK2" s="61"/>
      <c r="DAL2" s="61"/>
      <c r="DAM2" s="61"/>
      <c r="DAN2" s="61"/>
      <c r="DAO2" s="61"/>
      <c r="DAP2" s="61"/>
      <c r="DAQ2" s="61"/>
      <c r="DAR2" s="61"/>
      <c r="DAS2" s="61"/>
      <c r="DAT2" s="61"/>
      <c r="DAU2" s="61"/>
      <c r="DAV2" s="61"/>
      <c r="DAW2" s="61"/>
      <c r="DAX2" s="61"/>
      <c r="DAY2" s="61"/>
      <c r="DAZ2" s="61"/>
      <c r="DBA2" s="61"/>
      <c r="DBB2" s="61"/>
      <c r="DBC2" s="61"/>
      <c r="DBD2" s="61"/>
      <c r="DBE2" s="61"/>
      <c r="DBF2" s="61"/>
      <c r="DBG2" s="61"/>
      <c r="DBH2" s="61"/>
      <c r="DBI2" s="61"/>
      <c r="DBJ2" s="61"/>
      <c r="DBK2" s="61"/>
      <c r="DBL2" s="61"/>
      <c r="DBM2" s="61"/>
      <c r="DBN2" s="61"/>
      <c r="DBO2" s="61"/>
      <c r="DBP2" s="61"/>
      <c r="DBQ2" s="61"/>
      <c r="DBR2" s="61"/>
      <c r="DBS2" s="61"/>
      <c r="DBT2" s="61"/>
      <c r="DBU2" s="61"/>
      <c r="DBV2" s="61"/>
      <c r="DBW2" s="61"/>
      <c r="DBX2" s="61"/>
      <c r="DBY2" s="61"/>
      <c r="DBZ2" s="61"/>
      <c r="DCA2" s="61"/>
      <c r="DCB2" s="61"/>
      <c r="DCC2" s="61"/>
      <c r="DCD2" s="61"/>
      <c r="DCE2" s="61"/>
      <c r="DCF2" s="61"/>
      <c r="DCG2" s="61"/>
      <c r="DCH2" s="61"/>
      <c r="DCI2" s="61"/>
      <c r="DCJ2" s="61"/>
      <c r="DCK2" s="61"/>
      <c r="DCL2" s="61"/>
      <c r="DCM2" s="61"/>
      <c r="DCN2" s="61"/>
      <c r="DCO2" s="61"/>
      <c r="DCP2" s="61"/>
      <c r="DCQ2" s="61"/>
      <c r="DCR2" s="61"/>
      <c r="DCS2" s="61"/>
      <c r="DCT2" s="61"/>
      <c r="DCU2" s="61"/>
      <c r="DCV2" s="61"/>
      <c r="DCW2" s="61"/>
      <c r="DCX2" s="61"/>
      <c r="DCY2" s="61"/>
      <c r="DCZ2" s="61"/>
      <c r="DDA2" s="61"/>
      <c r="DDB2" s="61"/>
      <c r="DDC2" s="61"/>
      <c r="DDD2" s="61"/>
      <c r="DDE2" s="61"/>
      <c r="DDF2" s="61"/>
      <c r="DDG2" s="61"/>
      <c r="DDH2" s="61"/>
      <c r="DDI2" s="61"/>
      <c r="DDJ2" s="61"/>
      <c r="DDK2" s="61"/>
      <c r="DDL2" s="61"/>
      <c r="DDM2" s="61"/>
      <c r="DDN2" s="61"/>
      <c r="DDO2" s="61"/>
      <c r="DDP2" s="61"/>
      <c r="DDQ2" s="61"/>
      <c r="DDR2" s="61"/>
      <c r="DDS2" s="61"/>
      <c r="DDT2" s="61"/>
      <c r="DDU2" s="61"/>
      <c r="DDV2" s="61"/>
      <c r="DDW2" s="61"/>
      <c r="DDX2" s="61"/>
      <c r="DDY2" s="61"/>
      <c r="DDZ2" s="61"/>
      <c r="DEA2" s="61"/>
      <c r="DEB2" s="61"/>
      <c r="DEC2" s="61"/>
      <c r="DED2" s="61"/>
      <c r="DEE2" s="61"/>
      <c r="DEF2" s="61"/>
      <c r="DEG2" s="61"/>
      <c r="DEH2" s="61"/>
      <c r="DEI2" s="61"/>
      <c r="DEJ2" s="61"/>
      <c r="DEK2" s="61"/>
      <c r="DEL2" s="61"/>
      <c r="DEM2" s="61"/>
      <c r="DEN2" s="61"/>
      <c r="DEO2" s="61"/>
      <c r="DEP2" s="61"/>
      <c r="DEQ2" s="61"/>
      <c r="DER2" s="61"/>
      <c r="DES2" s="61"/>
      <c r="DET2" s="61"/>
      <c r="DEU2" s="61"/>
      <c r="DEV2" s="61"/>
      <c r="DEW2" s="61"/>
      <c r="DEX2" s="61"/>
      <c r="DEY2" s="61"/>
      <c r="DEZ2" s="61"/>
      <c r="DFA2" s="61"/>
      <c r="DFB2" s="61"/>
      <c r="DFC2" s="61"/>
      <c r="DFD2" s="61"/>
      <c r="DFE2" s="61"/>
      <c r="DFF2" s="61"/>
      <c r="DFG2" s="61"/>
      <c r="DFH2" s="61"/>
      <c r="DFI2" s="61"/>
      <c r="DFJ2" s="61"/>
      <c r="DFK2" s="61"/>
      <c r="DFL2" s="61"/>
      <c r="DFM2" s="61"/>
      <c r="DFN2" s="61"/>
      <c r="DFO2" s="61"/>
      <c r="DFP2" s="61"/>
      <c r="DFQ2" s="61"/>
      <c r="DFR2" s="61"/>
      <c r="DFS2" s="61"/>
      <c r="DFT2" s="61"/>
      <c r="DFU2" s="61"/>
      <c r="DFV2" s="61"/>
      <c r="DFW2" s="61"/>
      <c r="DFX2" s="61"/>
      <c r="DFY2" s="61"/>
      <c r="DFZ2" s="61"/>
      <c r="DGA2" s="61"/>
      <c r="DGB2" s="61"/>
      <c r="DGC2" s="61"/>
      <c r="DGD2" s="61"/>
      <c r="DGE2" s="61"/>
      <c r="DGF2" s="61"/>
      <c r="DGG2" s="61"/>
      <c r="DGH2" s="61"/>
      <c r="DGI2" s="61"/>
      <c r="DGJ2" s="61"/>
      <c r="DGK2" s="61"/>
      <c r="DGL2" s="61"/>
      <c r="DGM2" s="61"/>
      <c r="DGN2" s="61"/>
      <c r="DGO2" s="61"/>
      <c r="DGP2" s="61"/>
      <c r="DGQ2" s="61"/>
      <c r="DGR2" s="61"/>
      <c r="DGS2" s="61"/>
      <c r="DGT2" s="61"/>
      <c r="DGU2" s="61"/>
      <c r="DGV2" s="61"/>
      <c r="DGW2" s="61"/>
      <c r="DGX2" s="61"/>
      <c r="DGY2" s="61"/>
      <c r="DGZ2" s="61"/>
      <c r="DHA2" s="61"/>
      <c r="DHB2" s="61"/>
      <c r="DHC2" s="61"/>
      <c r="DHD2" s="61"/>
      <c r="DHE2" s="61"/>
      <c r="DHF2" s="61"/>
      <c r="DHG2" s="61"/>
      <c r="DHH2" s="61"/>
      <c r="DHI2" s="61"/>
      <c r="DHJ2" s="61"/>
      <c r="DHK2" s="61"/>
      <c r="DHL2" s="61"/>
      <c r="DHM2" s="61"/>
      <c r="DHN2" s="61"/>
      <c r="DHO2" s="61"/>
      <c r="DHP2" s="61"/>
      <c r="DHQ2" s="61"/>
      <c r="DHR2" s="61"/>
      <c r="DHS2" s="61"/>
      <c r="DHT2" s="61"/>
      <c r="DHU2" s="61"/>
      <c r="DHV2" s="61"/>
      <c r="DHW2" s="61"/>
      <c r="DHX2" s="61"/>
      <c r="DHY2" s="61"/>
      <c r="DHZ2" s="61"/>
      <c r="DIA2" s="61"/>
      <c r="DIB2" s="61"/>
      <c r="DIC2" s="61"/>
      <c r="DID2" s="61"/>
      <c r="DIE2" s="61"/>
      <c r="DIF2" s="61"/>
      <c r="DIG2" s="61"/>
      <c r="DIH2" s="61"/>
      <c r="DII2" s="61"/>
      <c r="DIJ2" s="61"/>
      <c r="DIK2" s="61"/>
      <c r="DIL2" s="61"/>
      <c r="DIM2" s="61"/>
      <c r="DIN2" s="61"/>
      <c r="DIO2" s="61"/>
      <c r="DIP2" s="61"/>
      <c r="DIQ2" s="61"/>
      <c r="DIR2" s="61"/>
      <c r="DIS2" s="61"/>
      <c r="DIT2" s="61"/>
      <c r="DIU2" s="61"/>
      <c r="DIV2" s="61"/>
      <c r="DIW2" s="61"/>
      <c r="DIX2" s="61"/>
      <c r="DIY2" s="61"/>
      <c r="DIZ2" s="61"/>
      <c r="DJA2" s="61"/>
      <c r="DJB2" s="61"/>
      <c r="DJC2" s="61"/>
      <c r="DJD2" s="61"/>
      <c r="DJE2" s="61"/>
      <c r="DJF2" s="61"/>
      <c r="DJG2" s="61"/>
      <c r="DJH2" s="61"/>
      <c r="DJI2" s="61"/>
      <c r="DJJ2" s="61"/>
      <c r="DJK2" s="61"/>
      <c r="DJL2" s="61"/>
      <c r="DJM2" s="61"/>
      <c r="DJN2" s="61"/>
      <c r="DJO2" s="61"/>
      <c r="DJP2" s="61"/>
      <c r="DJQ2" s="61"/>
      <c r="DJR2" s="61"/>
      <c r="DJS2" s="61"/>
      <c r="DJT2" s="61"/>
      <c r="DJU2" s="61"/>
      <c r="DJV2" s="61"/>
      <c r="DJW2" s="61"/>
      <c r="DJX2" s="61"/>
      <c r="DJY2" s="61"/>
      <c r="DJZ2" s="61"/>
      <c r="DKA2" s="61"/>
      <c r="DKB2" s="61"/>
      <c r="DKC2" s="61"/>
      <c r="DKD2" s="61"/>
      <c r="DKE2" s="61"/>
      <c r="DKF2" s="61"/>
      <c r="DKG2" s="61"/>
      <c r="DKH2" s="61"/>
      <c r="DKI2" s="61"/>
      <c r="DKJ2" s="61"/>
      <c r="DKK2" s="61"/>
      <c r="DKL2" s="61"/>
      <c r="DKM2" s="61"/>
      <c r="DKN2" s="61"/>
      <c r="DKO2" s="61"/>
      <c r="DKP2" s="61"/>
      <c r="DKQ2" s="61"/>
      <c r="DKR2" s="61"/>
      <c r="DKS2" s="61"/>
      <c r="DKT2" s="61"/>
      <c r="DKU2" s="61"/>
      <c r="DKV2" s="61"/>
      <c r="DKW2" s="61"/>
      <c r="DKX2" s="61"/>
      <c r="DKY2" s="61"/>
      <c r="DKZ2" s="61"/>
      <c r="DLA2" s="61"/>
      <c r="DLB2" s="61"/>
      <c r="DLC2" s="61"/>
      <c r="DLD2" s="61"/>
      <c r="DLE2" s="61"/>
      <c r="DLF2" s="61"/>
      <c r="DLG2" s="61"/>
      <c r="DLH2" s="61"/>
      <c r="DLI2" s="61"/>
      <c r="DLJ2" s="61"/>
      <c r="DLK2" s="61"/>
      <c r="DLL2" s="61"/>
      <c r="DLM2" s="61"/>
      <c r="DLN2" s="61"/>
      <c r="DLO2" s="61"/>
      <c r="DLP2" s="61"/>
      <c r="DLQ2" s="61"/>
      <c r="DLR2" s="61"/>
      <c r="DLS2" s="61"/>
      <c r="DLT2" s="61"/>
      <c r="DLU2" s="61"/>
      <c r="DLV2" s="61"/>
      <c r="DLW2" s="61"/>
      <c r="DLX2" s="61"/>
      <c r="DLY2" s="61"/>
      <c r="DLZ2" s="61"/>
      <c r="DMA2" s="61"/>
      <c r="DMB2" s="61"/>
      <c r="DMC2" s="61"/>
      <c r="DMD2" s="61"/>
      <c r="DME2" s="61"/>
      <c r="DMF2" s="61"/>
      <c r="DMG2" s="61"/>
      <c r="DMH2" s="61"/>
      <c r="DMI2" s="61"/>
      <c r="DMJ2" s="61"/>
      <c r="DMK2" s="61"/>
      <c r="DML2" s="61"/>
      <c r="DMM2" s="61"/>
      <c r="DMN2" s="61"/>
      <c r="DMO2" s="61"/>
      <c r="DMP2" s="61"/>
      <c r="DMQ2" s="61"/>
      <c r="DMR2" s="61"/>
      <c r="DMS2" s="61"/>
      <c r="DMT2" s="61"/>
      <c r="DMU2" s="61"/>
      <c r="DMV2" s="61"/>
      <c r="DMW2" s="61"/>
      <c r="DMX2" s="61"/>
      <c r="DMY2" s="61"/>
      <c r="DMZ2" s="61"/>
      <c r="DNA2" s="61"/>
      <c r="DNB2" s="61"/>
      <c r="DNC2" s="61"/>
      <c r="DND2" s="61"/>
      <c r="DNE2" s="61"/>
      <c r="DNF2" s="61"/>
      <c r="DNG2" s="61"/>
      <c r="DNH2" s="61"/>
      <c r="DNI2" s="61"/>
      <c r="DNJ2" s="61"/>
      <c r="DNK2" s="61"/>
      <c r="DNL2" s="61"/>
      <c r="DNM2" s="61"/>
      <c r="DNN2" s="61"/>
      <c r="DNO2" s="61"/>
      <c r="DNP2" s="61"/>
      <c r="DNQ2" s="61"/>
      <c r="DNR2" s="61"/>
      <c r="DNS2" s="61"/>
      <c r="DNT2" s="61"/>
      <c r="DNU2" s="61"/>
      <c r="DNV2" s="61"/>
      <c r="DNW2" s="61"/>
      <c r="DNX2" s="61"/>
      <c r="DNY2" s="61"/>
      <c r="DNZ2" s="61"/>
      <c r="DOA2" s="61"/>
      <c r="DOB2" s="61"/>
      <c r="DOC2" s="61"/>
      <c r="DOD2" s="61"/>
      <c r="DOE2" s="61"/>
      <c r="DOF2" s="61"/>
      <c r="DOG2" s="61"/>
      <c r="DOH2" s="61"/>
      <c r="DOI2" s="61"/>
      <c r="DOJ2" s="61"/>
      <c r="DOK2" s="61"/>
      <c r="DOL2" s="61"/>
      <c r="DOM2" s="61"/>
      <c r="DON2" s="61"/>
      <c r="DOO2" s="61"/>
      <c r="DOP2" s="61"/>
      <c r="DOQ2" s="61"/>
      <c r="DOR2" s="61"/>
      <c r="DOS2" s="61"/>
      <c r="DOT2" s="61"/>
      <c r="DOU2" s="61"/>
      <c r="DOV2" s="61"/>
      <c r="DOW2" s="61"/>
      <c r="DOX2" s="61"/>
      <c r="DOY2" s="61"/>
      <c r="DOZ2" s="61"/>
      <c r="DPA2" s="61"/>
      <c r="DPB2" s="61"/>
      <c r="DPC2" s="61"/>
      <c r="DPD2" s="61"/>
      <c r="DPE2" s="61"/>
      <c r="DPF2" s="61"/>
      <c r="DPG2" s="61"/>
      <c r="DPH2" s="61"/>
      <c r="DPI2" s="61"/>
      <c r="DPJ2" s="61"/>
      <c r="DPK2" s="61"/>
      <c r="DPL2" s="61"/>
      <c r="DPM2" s="61"/>
      <c r="DPN2" s="61"/>
      <c r="DPO2" s="61"/>
      <c r="DPP2" s="61"/>
      <c r="DPQ2" s="61"/>
      <c r="DPR2" s="61"/>
      <c r="DPS2" s="61"/>
      <c r="DPT2" s="61"/>
      <c r="DPU2" s="61"/>
      <c r="DPV2" s="61"/>
      <c r="DPW2" s="61"/>
      <c r="DPX2" s="61"/>
      <c r="DPY2" s="61"/>
      <c r="DPZ2" s="61"/>
      <c r="DQA2" s="61"/>
      <c r="DQB2" s="61"/>
      <c r="DQC2" s="61"/>
      <c r="DQD2" s="61"/>
      <c r="DQE2" s="61"/>
      <c r="DQF2" s="61"/>
      <c r="DQG2" s="61"/>
      <c r="DQH2" s="61"/>
      <c r="DQI2" s="61"/>
      <c r="DQJ2" s="61"/>
      <c r="DQK2" s="61"/>
      <c r="DQL2" s="61"/>
      <c r="DQM2" s="61"/>
      <c r="DQN2" s="61"/>
      <c r="DQO2" s="61"/>
      <c r="DQP2" s="61"/>
      <c r="DQQ2" s="61"/>
      <c r="DQR2" s="61"/>
      <c r="DQS2" s="61"/>
      <c r="DQT2" s="61"/>
      <c r="DQU2" s="61"/>
      <c r="DQV2" s="61"/>
      <c r="DQW2" s="61"/>
      <c r="DQX2" s="61"/>
      <c r="DQY2" s="61"/>
      <c r="DQZ2" s="61"/>
      <c r="DRA2" s="61"/>
      <c r="DRB2" s="61"/>
      <c r="DRC2" s="61"/>
      <c r="DRD2" s="61"/>
      <c r="DRE2" s="61"/>
      <c r="DRF2" s="61"/>
      <c r="DRG2" s="61"/>
      <c r="DRH2" s="61"/>
      <c r="DRI2" s="61"/>
      <c r="DRJ2" s="61"/>
      <c r="DRK2" s="61"/>
      <c r="DRL2" s="61"/>
      <c r="DRM2" s="61"/>
      <c r="DRN2" s="61"/>
      <c r="DRO2" s="61"/>
      <c r="DRP2" s="61"/>
      <c r="DRQ2" s="61"/>
      <c r="DRR2" s="61"/>
      <c r="DRS2" s="61"/>
      <c r="DRT2" s="61"/>
      <c r="DRU2" s="61"/>
      <c r="DRV2" s="61"/>
      <c r="DRW2" s="61"/>
      <c r="DRX2" s="61"/>
      <c r="DRY2" s="61"/>
      <c r="DRZ2" s="61"/>
      <c r="DSA2" s="61"/>
      <c r="DSB2" s="61"/>
      <c r="DSC2" s="61"/>
      <c r="DSD2" s="61"/>
      <c r="DSE2" s="61"/>
      <c r="DSF2" s="61"/>
      <c r="DSG2" s="61"/>
      <c r="DSH2" s="61"/>
      <c r="DSI2" s="61"/>
      <c r="DSJ2" s="61"/>
      <c r="DSK2" s="61"/>
      <c r="DSL2" s="61"/>
      <c r="DSM2" s="61"/>
      <c r="DSN2" s="61"/>
      <c r="DSO2" s="61"/>
      <c r="DSP2" s="61"/>
      <c r="DSQ2" s="61"/>
      <c r="DSR2" s="61"/>
      <c r="DSS2" s="61"/>
      <c r="DST2" s="61"/>
      <c r="DSU2" s="61"/>
      <c r="DSV2" s="61"/>
      <c r="DSW2" s="61"/>
      <c r="DSX2" s="61"/>
      <c r="DSY2" s="61"/>
      <c r="DSZ2" s="61"/>
      <c r="DTA2" s="61"/>
      <c r="DTB2" s="61"/>
      <c r="DTC2" s="61"/>
      <c r="DTD2" s="61"/>
      <c r="DTE2" s="61"/>
      <c r="DTF2" s="61"/>
      <c r="DTG2" s="61"/>
      <c r="DTH2" s="61"/>
      <c r="DTI2" s="61"/>
      <c r="DTJ2" s="61"/>
      <c r="DTK2" s="61"/>
      <c r="DTL2" s="61"/>
      <c r="DTM2" s="61"/>
      <c r="DTN2" s="61"/>
      <c r="DTO2" s="61"/>
      <c r="DTP2" s="61"/>
      <c r="DTQ2" s="61"/>
      <c r="DTR2" s="61"/>
      <c r="DTS2" s="61"/>
      <c r="DTT2" s="61"/>
      <c r="DTU2" s="61"/>
      <c r="DTV2" s="61"/>
      <c r="DTW2" s="61"/>
      <c r="DTX2" s="61"/>
      <c r="DTY2" s="61"/>
      <c r="DTZ2" s="61"/>
      <c r="DUA2" s="61"/>
      <c r="DUB2" s="61"/>
      <c r="DUC2" s="61"/>
      <c r="DUD2" s="61"/>
      <c r="DUE2" s="61"/>
      <c r="DUF2" s="61"/>
      <c r="DUG2" s="61"/>
      <c r="DUH2" s="61"/>
      <c r="DUI2" s="61"/>
      <c r="DUJ2" s="61"/>
      <c r="DUK2" s="61"/>
      <c r="DUL2" s="61"/>
      <c r="DUM2" s="61"/>
      <c r="DUN2" s="61"/>
      <c r="DUO2" s="61"/>
      <c r="DUP2" s="61"/>
      <c r="DUQ2" s="61"/>
      <c r="DUR2" s="61"/>
      <c r="DUS2" s="61"/>
      <c r="DUT2" s="61"/>
      <c r="DUU2" s="61"/>
      <c r="DUV2" s="61"/>
      <c r="DUW2" s="61"/>
      <c r="DUX2" s="61"/>
      <c r="DUY2" s="61"/>
      <c r="DUZ2" s="61"/>
      <c r="DVA2" s="61"/>
      <c r="DVB2" s="61"/>
      <c r="DVC2" s="61"/>
      <c r="DVD2" s="61"/>
      <c r="DVE2" s="61"/>
      <c r="DVF2" s="61"/>
      <c r="DVG2" s="61"/>
      <c r="DVH2" s="61"/>
      <c r="DVI2" s="61"/>
      <c r="DVJ2" s="61"/>
      <c r="DVK2" s="61"/>
      <c r="DVL2" s="61"/>
      <c r="DVM2" s="61"/>
      <c r="DVN2" s="61"/>
      <c r="DVO2" s="61"/>
      <c r="DVP2" s="61"/>
      <c r="DVQ2" s="61"/>
      <c r="DVR2" s="61"/>
      <c r="DVS2" s="61"/>
      <c r="DVT2" s="61"/>
      <c r="DVU2" s="61"/>
      <c r="DVV2" s="61"/>
      <c r="DVW2" s="61"/>
      <c r="DVX2" s="61"/>
      <c r="DVY2" s="61"/>
      <c r="DVZ2" s="61"/>
      <c r="DWA2" s="61"/>
      <c r="DWB2" s="61"/>
      <c r="DWC2" s="61"/>
      <c r="DWD2" s="61"/>
      <c r="DWE2" s="61"/>
      <c r="DWF2" s="61"/>
      <c r="DWG2" s="61"/>
      <c r="DWH2" s="61"/>
      <c r="DWI2" s="61"/>
      <c r="DWJ2" s="61"/>
      <c r="DWK2" s="61"/>
      <c r="DWL2" s="61"/>
      <c r="DWM2" s="61"/>
      <c r="DWN2" s="61"/>
      <c r="DWO2" s="61"/>
      <c r="DWP2" s="61"/>
      <c r="DWQ2" s="61"/>
      <c r="DWR2" s="61"/>
      <c r="DWS2" s="61"/>
      <c r="DWT2" s="61"/>
      <c r="DWU2" s="61"/>
      <c r="DWV2" s="61"/>
      <c r="DWW2" s="61"/>
      <c r="DWX2" s="61"/>
      <c r="DWY2" s="61"/>
      <c r="DWZ2" s="61"/>
      <c r="DXA2" s="61"/>
      <c r="DXB2" s="61"/>
      <c r="DXC2" s="61"/>
      <c r="DXD2" s="61"/>
      <c r="DXE2" s="61"/>
      <c r="DXF2" s="61"/>
      <c r="DXG2" s="61"/>
      <c r="DXH2" s="61"/>
      <c r="DXI2" s="61"/>
      <c r="DXJ2" s="61"/>
      <c r="DXK2" s="61"/>
      <c r="DXL2" s="61"/>
      <c r="DXM2" s="61"/>
      <c r="DXN2" s="61"/>
      <c r="DXO2" s="61"/>
      <c r="DXP2" s="61"/>
      <c r="DXQ2" s="61"/>
      <c r="DXR2" s="61"/>
      <c r="DXS2" s="61"/>
      <c r="DXT2" s="61"/>
      <c r="DXU2" s="61"/>
      <c r="DXV2" s="61"/>
      <c r="DXW2" s="61"/>
      <c r="DXX2" s="61"/>
      <c r="DXY2" s="61"/>
      <c r="DXZ2" s="61"/>
      <c r="DYA2" s="61"/>
      <c r="DYB2" s="61"/>
      <c r="DYC2" s="61"/>
      <c r="DYD2" s="61"/>
      <c r="DYE2" s="61"/>
      <c r="DYF2" s="61"/>
      <c r="DYG2" s="61"/>
      <c r="DYH2" s="61"/>
      <c r="DYI2" s="61"/>
      <c r="DYJ2" s="61"/>
      <c r="DYK2" s="61"/>
      <c r="DYL2" s="61"/>
      <c r="DYM2" s="61"/>
      <c r="DYN2" s="61"/>
      <c r="DYO2" s="61"/>
      <c r="DYP2" s="61"/>
      <c r="DYQ2" s="61"/>
      <c r="DYR2" s="61"/>
      <c r="DYS2" s="61"/>
      <c r="DYT2" s="61"/>
      <c r="DYU2" s="61"/>
      <c r="DYV2" s="61"/>
      <c r="DYW2" s="61"/>
      <c r="DYX2" s="61"/>
      <c r="DYY2" s="61"/>
      <c r="DYZ2" s="61"/>
      <c r="DZA2" s="61"/>
      <c r="DZB2" s="61"/>
      <c r="DZC2" s="61"/>
      <c r="DZD2" s="61"/>
      <c r="DZE2" s="61"/>
      <c r="DZF2" s="61"/>
      <c r="DZG2" s="61"/>
      <c r="DZH2" s="61"/>
      <c r="DZI2" s="61"/>
      <c r="DZJ2" s="61"/>
      <c r="DZK2" s="61"/>
      <c r="DZL2" s="61"/>
      <c r="DZM2" s="61"/>
      <c r="DZN2" s="61"/>
      <c r="DZO2" s="61"/>
      <c r="DZP2" s="61"/>
      <c r="DZQ2" s="61"/>
      <c r="DZR2" s="61"/>
      <c r="DZS2" s="61"/>
      <c r="DZT2" s="61"/>
      <c r="DZU2" s="61"/>
      <c r="DZV2" s="61"/>
      <c r="DZW2" s="61"/>
      <c r="DZX2" s="61"/>
      <c r="DZY2" s="61"/>
      <c r="DZZ2" s="61"/>
      <c r="EAA2" s="61"/>
      <c r="EAB2" s="61"/>
      <c r="EAC2" s="61"/>
      <c r="EAD2" s="61"/>
      <c r="EAE2" s="61"/>
      <c r="EAF2" s="61"/>
      <c r="EAG2" s="61"/>
      <c r="EAH2" s="61"/>
      <c r="EAI2" s="61"/>
      <c r="EAJ2" s="61"/>
      <c r="EAK2" s="61"/>
      <c r="EAL2" s="61"/>
      <c r="EAM2" s="61"/>
      <c r="EAN2" s="61"/>
      <c r="EAO2" s="61"/>
      <c r="EAP2" s="61"/>
      <c r="EAQ2" s="61"/>
      <c r="EAR2" s="61"/>
      <c r="EAS2" s="61"/>
      <c r="EAT2" s="61"/>
      <c r="EAU2" s="61"/>
      <c r="EAV2" s="61"/>
      <c r="EAW2" s="61"/>
      <c r="EAX2" s="61"/>
      <c r="EAY2" s="61"/>
      <c r="EAZ2" s="61"/>
      <c r="EBA2" s="61"/>
      <c r="EBB2" s="61"/>
      <c r="EBC2" s="61"/>
      <c r="EBD2" s="61"/>
      <c r="EBE2" s="61"/>
      <c r="EBF2" s="61"/>
      <c r="EBG2" s="61"/>
      <c r="EBH2" s="61"/>
      <c r="EBI2" s="61"/>
      <c r="EBJ2" s="61"/>
      <c r="EBK2" s="61"/>
      <c r="EBL2" s="61"/>
      <c r="EBM2" s="61"/>
      <c r="EBN2" s="61"/>
      <c r="EBO2" s="61"/>
      <c r="EBP2" s="61"/>
      <c r="EBQ2" s="61"/>
      <c r="EBR2" s="61"/>
      <c r="EBS2" s="61"/>
      <c r="EBT2" s="61"/>
      <c r="EBU2" s="61"/>
      <c r="EBV2" s="61"/>
      <c r="EBW2" s="61"/>
      <c r="EBX2" s="61"/>
      <c r="EBY2" s="61"/>
      <c r="EBZ2" s="61"/>
      <c r="ECA2" s="61"/>
      <c r="ECB2" s="61"/>
      <c r="ECC2" s="61"/>
      <c r="ECD2" s="61"/>
      <c r="ECE2" s="61"/>
      <c r="ECF2" s="61"/>
      <c r="ECG2" s="61"/>
      <c r="ECH2" s="61"/>
      <c r="ECI2" s="61"/>
      <c r="ECJ2" s="61"/>
      <c r="ECK2" s="61"/>
      <c r="ECL2" s="61"/>
      <c r="ECM2" s="61"/>
      <c r="ECN2" s="61"/>
      <c r="ECO2" s="61"/>
      <c r="ECP2" s="61"/>
      <c r="ECQ2" s="61"/>
      <c r="ECR2" s="61"/>
      <c r="ECS2" s="61"/>
      <c r="ECT2" s="61"/>
      <c r="ECU2" s="61"/>
      <c r="ECV2" s="61"/>
      <c r="ECW2" s="61"/>
      <c r="ECX2" s="61"/>
      <c r="ECY2" s="61"/>
      <c r="ECZ2" s="61"/>
      <c r="EDA2" s="61"/>
      <c r="EDB2" s="61"/>
      <c r="EDC2" s="61"/>
      <c r="EDD2" s="61"/>
      <c r="EDE2" s="61"/>
      <c r="EDF2" s="61"/>
      <c r="EDG2" s="61"/>
      <c r="EDH2" s="61"/>
      <c r="EDI2" s="61"/>
      <c r="EDJ2" s="61"/>
      <c r="EDK2" s="61"/>
      <c r="EDL2" s="61"/>
      <c r="EDM2" s="61"/>
      <c r="EDN2" s="61"/>
      <c r="EDO2" s="61"/>
      <c r="EDP2" s="61"/>
      <c r="EDQ2" s="61"/>
      <c r="EDR2" s="61"/>
      <c r="EDS2" s="61"/>
      <c r="EDT2" s="61"/>
      <c r="EDU2" s="61"/>
      <c r="EDV2" s="61"/>
      <c r="EDW2" s="61"/>
      <c r="EDX2" s="61"/>
      <c r="EDY2" s="61"/>
      <c r="EDZ2" s="61"/>
      <c r="EEA2" s="61"/>
      <c r="EEB2" s="61"/>
      <c r="EEC2" s="61"/>
      <c r="EED2" s="61"/>
      <c r="EEE2" s="61"/>
      <c r="EEF2" s="61"/>
      <c r="EEG2" s="61"/>
      <c r="EEH2" s="61"/>
      <c r="EEI2" s="61"/>
      <c r="EEJ2" s="61"/>
      <c r="EEK2" s="61"/>
      <c r="EEL2" s="61"/>
      <c r="EEM2" s="61"/>
      <c r="EEN2" s="61"/>
      <c r="EEO2" s="61"/>
      <c r="EEP2" s="61"/>
      <c r="EEQ2" s="61"/>
      <c r="EER2" s="61"/>
      <c r="EES2" s="61"/>
      <c r="EET2" s="61"/>
      <c r="EEU2" s="61"/>
      <c r="EEV2" s="61"/>
      <c r="EEW2" s="61"/>
      <c r="EEX2" s="61"/>
      <c r="EEY2" s="61"/>
      <c r="EEZ2" s="61"/>
      <c r="EFA2" s="61"/>
      <c r="EFB2" s="61"/>
      <c r="EFC2" s="61"/>
      <c r="EFD2" s="61"/>
      <c r="EFE2" s="61"/>
      <c r="EFF2" s="61"/>
      <c r="EFG2" s="61"/>
      <c r="EFH2" s="61"/>
      <c r="EFI2" s="61"/>
      <c r="EFJ2" s="61"/>
      <c r="EFK2" s="61"/>
      <c r="EFL2" s="61"/>
      <c r="EFM2" s="61"/>
      <c r="EFN2" s="61"/>
      <c r="EFO2" s="61"/>
      <c r="EFP2" s="61"/>
      <c r="EFQ2" s="61"/>
      <c r="EFR2" s="61"/>
      <c r="EFS2" s="61"/>
      <c r="EFT2" s="61"/>
      <c r="EFU2" s="61"/>
      <c r="EFV2" s="61"/>
      <c r="EFW2" s="61"/>
      <c r="EFX2" s="61"/>
      <c r="EFY2" s="61"/>
      <c r="EFZ2" s="61"/>
      <c r="EGA2" s="61"/>
      <c r="EGB2" s="61"/>
      <c r="EGC2" s="61"/>
      <c r="EGD2" s="61"/>
      <c r="EGE2" s="61"/>
      <c r="EGF2" s="61"/>
      <c r="EGG2" s="61"/>
      <c r="EGH2" s="61"/>
      <c r="EGI2" s="61"/>
      <c r="EGJ2" s="61"/>
      <c r="EGK2" s="61"/>
      <c r="EGL2" s="61"/>
      <c r="EGM2" s="61"/>
      <c r="EGN2" s="61"/>
      <c r="EGO2" s="61"/>
      <c r="EGP2" s="61"/>
      <c r="EGQ2" s="61"/>
      <c r="EGR2" s="61"/>
      <c r="EGS2" s="61"/>
      <c r="EGT2" s="61"/>
      <c r="EGU2" s="61"/>
      <c r="EGV2" s="61"/>
      <c r="EGW2" s="61"/>
      <c r="EGX2" s="61"/>
      <c r="EGY2" s="61"/>
      <c r="EGZ2" s="61"/>
      <c r="EHA2" s="61"/>
      <c r="EHB2" s="61"/>
      <c r="EHC2" s="61"/>
      <c r="EHD2" s="61"/>
      <c r="EHE2" s="61"/>
      <c r="EHF2" s="61"/>
      <c r="EHG2" s="61"/>
      <c r="EHH2" s="61"/>
      <c r="EHI2" s="61"/>
      <c r="EHJ2" s="61"/>
      <c r="EHK2" s="61"/>
      <c r="EHL2" s="61"/>
      <c r="EHM2" s="61"/>
      <c r="EHN2" s="61"/>
      <c r="EHO2" s="61"/>
      <c r="EHP2" s="61"/>
      <c r="EHQ2" s="61"/>
      <c r="EHR2" s="61"/>
      <c r="EHS2" s="61"/>
      <c r="EHT2" s="61"/>
      <c r="EHU2" s="61"/>
      <c r="EHV2" s="61"/>
      <c r="EHW2" s="61"/>
      <c r="EHX2" s="61"/>
      <c r="EHY2" s="61"/>
      <c r="EHZ2" s="61"/>
      <c r="EIA2" s="61"/>
      <c r="EIB2" s="61"/>
      <c r="EIC2" s="61"/>
      <c r="EID2" s="61"/>
      <c r="EIE2" s="61"/>
      <c r="EIF2" s="61"/>
      <c r="EIG2" s="61"/>
      <c r="EIH2" s="61"/>
      <c r="EII2" s="61"/>
      <c r="EIJ2" s="61"/>
      <c r="EIK2" s="61"/>
      <c r="EIL2" s="61"/>
      <c r="EIM2" s="61"/>
      <c r="EIN2" s="61"/>
      <c r="EIO2" s="61"/>
      <c r="EIP2" s="61"/>
      <c r="EIQ2" s="61"/>
      <c r="EIR2" s="61"/>
      <c r="EIS2" s="61"/>
      <c r="EIT2" s="61"/>
      <c r="EIU2" s="61"/>
      <c r="EIV2" s="61"/>
      <c r="EIW2" s="61"/>
      <c r="EIX2" s="61"/>
      <c r="EIY2" s="61"/>
      <c r="EIZ2" s="61"/>
      <c r="EJA2" s="61"/>
      <c r="EJB2" s="61"/>
      <c r="EJC2" s="61"/>
      <c r="EJD2" s="61"/>
      <c r="EJE2" s="61"/>
      <c r="EJF2" s="61"/>
      <c r="EJG2" s="61"/>
      <c r="EJH2" s="61"/>
      <c r="EJI2" s="61"/>
      <c r="EJJ2" s="61"/>
      <c r="EJK2" s="61"/>
      <c r="EJL2" s="61"/>
      <c r="EJM2" s="61"/>
      <c r="EJN2" s="61"/>
      <c r="EJO2" s="61"/>
      <c r="EJP2" s="61"/>
      <c r="EJQ2" s="61"/>
      <c r="EJR2" s="61"/>
      <c r="EJS2" s="61"/>
      <c r="EJT2" s="61"/>
      <c r="EJU2" s="61"/>
      <c r="EJV2" s="61"/>
      <c r="EJW2" s="61"/>
      <c r="EJX2" s="61"/>
      <c r="EJY2" s="61"/>
      <c r="EJZ2" s="61"/>
      <c r="EKA2" s="61"/>
      <c r="EKB2" s="61"/>
      <c r="EKC2" s="61"/>
      <c r="EKD2" s="61"/>
      <c r="EKE2" s="61"/>
      <c r="EKF2" s="61"/>
      <c r="EKG2" s="61"/>
      <c r="EKH2" s="61"/>
      <c r="EKI2" s="61"/>
      <c r="EKJ2" s="61"/>
      <c r="EKK2" s="61"/>
      <c r="EKL2" s="61"/>
      <c r="EKM2" s="61"/>
      <c r="EKN2" s="61"/>
      <c r="EKO2" s="61"/>
      <c r="EKP2" s="61"/>
      <c r="EKQ2" s="61"/>
      <c r="EKR2" s="61"/>
      <c r="EKS2" s="61"/>
      <c r="EKT2" s="61"/>
      <c r="EKU2" s="61"/>
      <c r="EKV2" s="61"/>
      <c r="EKW2" s="61"/>
      <c r="EKX2" s="61"/>
      <c r="EKY2" s="61"/>
      <c r="EKZ2" s="61"/>
      <c r="ELA2" s="61"/>
      <c r="ELB2" s="61"/>
      <c r="ELC2" s="61"/>
      <c r="ELD2" s="61"/>
      <c r="ELE2" s="61"/>
      <c r="ELF2" s="61"/>
      <c r="ELG2" s="61"/>
      <c r="ELH2" s="61"/>
      <c r="ELI2" s="61"/>
      <c r="ELJ2" s="61"/>
      <c r="ELK2" s="61"/>
      <c r="ELL2" s="61"/>
      <c r="ELM2" s="61"/>
      <c r="ELN2" s="61"/>
      <c r="ELO2" s="61"/>
      <c r="ELP2" s="61"/>
      <c r="ELQ2" s="61"/>
      <c r="ELR2" s="61"/>
      <c r="ELS2" s="61"/>
      <c r="ELT2" s="61"/>
      <c r="ELU2" s="61"/>
      <c r="ELV2" s="61"/>
      <c r="ELW2" s="61"/>
      <c r="ELX2" s="61"/>
      <c r="ELY2" s="61"/>
      <c r="ELZ2" s="61"/>
      <c r="EMA2" s="61"/>
      <c r="EMB2" s="61"/>
      <c r="EMC2" s="61"/>
      <c r="EMD2" s="61"/>
      <c r="EME2" s="61"/>
      <c r="EMF2" s="61"/>
      <c r="EMG2" s="61"/>
      <c r="EMH2" s="61"/>
      <c r="EMI2" s="61"/>
      <c r="EMJ2" s="61"/>
      <c r="EMK2" s="61"/>
      <c r="EML2" s="61"/>
      <c r="EMM2" s="61"/>
      <c r="EMN2" s="61"/>
      <c r="EMO2" s="61"/>
      <c r="EMP2" s="61"/>
      <c r="EMQ2" s="61"/>
      <c r="EMR2" s="61"/>
      <c r="EMS2" s="61"/>
      <c r="EMT2" s="61"/>
      <c r="EMU2" s="61"/>
      <c r="EMV2" s="61"/>
      <c r="EMW2" s="61"/>
      <c r="EMX2" s="61"/>
      <c r="EMY2" s="61"/>
      <c r="EMZ2" s="61"/>
      <c r="ENA2" s="61"/>
      <c r="ENB2" s="61"/>
      <c r="ENC2" s="61"/>
      <c r="END2" s="61"/>
      <c r="ENE2" s="61"/>
      <c r="ENF2" s="61"/>
      <c r="ENG2" s="61"/>
      <c r="ENH2" s="61"/>
      <c r="ENI2" s="61"/>
      <c r="ENJ2" s="61"/>
      <c r="ENK2" s="61"/>
      <c r="ENL2" s="61"/>
      <c r="ENM2" s="61"/>
      <c r="ENN2" s="61"/>
      <c r="ENO2" s="61"/>
      <c r="ENP2" s="61"/>
      <c r="ENQ2" s="61"/>
      <c r="ENR2" s="61"/>
      <c r="ENS2" s="61"/>
      <c r="ENT2" s="61"/>
      <c r="ENU2" s="61"/>
      <c r="ENV2" s="61"/>
      <c r="ENW2" s="61"/>
      <c r="ENX2" s="61"/>
      <c r="ENY2" s="61"/>
      <c r="ENZ2" s="61"/>
      <c r="EOA2" s="61"/>
      <c r="EOB2" s="61"/>
      <c r="EOC2" s="61"/>
      <c r="EOD2" s="61"/>
      <c r="EOE2" s="61"/>
      <c r="EOF2" s="61"/>
      <c r="EOG2" s="61"/>
      <c r="EOH2" s="61"/>
      <c r="EOI2" s="61"/>
      <c r="EOJ2" s="61"/>
      <c r="EOK2" s="61"/>
      <c r="EOL2" s="61"/>
      <c r="EOM2" s="61"/>
      <c r="EON2" s="61"/>
      <c r="EOO2" s="61"/>
      <c r="EOP2" s="61"/>
      <c r="EOQ2" s="61"/>
      <c r="EOR2" s="61"/>
      <c r="EOS2" s="61"/>
      <c r="EOT2" s="61"/>
      <c r="EOU2" s="61"/>
      <c r="EOV2" s="61"/>
      <c r="EOW2" s="61"/>
      <c r="EOX2" s="61"/>
      <c r="EOY2" s="61"/>
      <c r="EOZ2" s="61"/>
      <c r="EPA2" s="61"/>
      <c r="EPB2" s="61"/>
      <c r="EPC2" s="61"/>
      <c r="EPD2" s="61"/>
      <c r="EPE2" s="61"/>
      <c r="EPF2" s="61"/>
      <c r="EPG2" s="61"/>
      <c r="EPH2" s="61"/>
      <c r="EPI2" s="61"/>
      <c r="EPJ2" s="61"/>
      <c r="EPK2" s="61"/>
      <c r="EPL2" s="61"/>
      <c r="EPM2" s="61"/>
      <c r="EPN2" s="61"/>
      <c r="EPO2" s="61"/>
      <c r="EPP2" s="61"/>
      <c r="EPQ2" s="61"/>
      <c r="EPR2" s="61"/>
      <c r="EPS2" s="61"/>
      <c r="EPT2" s="61"/>
      <c r="EPU2" s="61"/>
      <c r="EPV2" s="61"/>
      <c r="EPW2" s="61"/>
      <c r="EPX2" s="61"/>
      <c r="EPY2" s="61"/>
      <c r="EPZ2" s="61"/>
      <c r="EQA2" s="61"/>
      <c r="EQB2" s="61"/>
      <c r="EQC2" s="61"/>
      <c r="EQD2" s="61"/>
      <c r="EQE2" s="61"/>
      <c r="EQF2" s="61"/>
      <c r="EQG2" s="61"/>
      <c r="EQH2" s="61"/>
      <c r="EQI2" s="61"/>
      <c r="EQJ2" s="61"/>
      <c r="EQK2" s="61"/>
      <c r="EQL2" s="61"/>
      <c r="EQM2" s="61"/>
      <c r="EQN2" s="61"/>
      <c r="EQO2" s="61"/>
      <c r="EQP2" s="61"/>
      <c r="EQQ2" s="61"/>
      <c r="EQR2" s="61"/>
      <c r="EQS2" s="61"/>
      <c r="EQT2" s="61"/>
      <c r="EQU2" s="61"/>
      <c r="EQV2" s="61"/>
      <c r="EQW2" s="61"/>
      <c r="EQX2" s="61"/>
      <c r="EQY2" s="61"/>
      <c r="EQZ2" s="61"/>
      <c r="ERA2" s="61"/>
      <c r="ERB2" s="61"/>
      <c r="ERC2" s="61"/>
      <c r="ERD2" s="61"/>
      <c r="ERE2" s="61"/>
      <c r="ERF2" s="61"/>
      <c r="ERG2" s="61"/>
      <c r="ERH2" s="61"/>
      <c r="ERI2" s="61"/>
      <c r="ERJ2" s="61"/>
      <c r="ERK2" s="61"/>
      <c r="ERL2" s="61"/>
      <c r="ERM2" s="61"/>
      <c r="ERN2" s="61"/>
      <c r="ERO2" s="61"/>
      <c r="ERP2" s="61"/>
      <c r="ERQ2" s="61"/>
      <c r="ERR2" s="61"/>
      <c r="ERS2" s="61"/>
      <c r="ERT2" s="61"/>
      <c r="ERU2" s="61"/>
      <c r="ERV2" s="61"/>
      <c r="ERW2" s="61"/>
      <c r="ERX2" s="61"/>
      <c r="ERY2" s="61"/>
      <c r="ERZ2" s="61"/>
      <c r="ESA2" s="61"/>
      <c r="ESB2" s="61"/>
      <c r="ESC2" s="61"/>
      <c r="ESD2" s="61"/>
      <c r="ESE2" s="61"/>
      <c r="ESF2" s="61"/>
      <c r="ESG2" s="61"/>
      <c r="ESH2" s="61"/>
      <c r="ESI2" s="61"/>
      <c r="ESJ2" s="61"/>
      <c r="ESK2" s="61"/>
      <c r="ESL2" s="61"/>
      <c r="ESM2" s="61"/>
      <c r="ESN2" s="61"/>
      <c r="ESO2" s="61"/>
      <c r="ESP2" s="61"/>
      <c r="ESQ2" s="61"/>
      <c r="ESR2" s="61"/>
      <c r="ESS2" s="61"/>
      <c r="EST2" s="61"/>
      <c r="ESU2" s="61"/>
      <c r="ESV2" s="61"/>
      <c r="ESW2" s="61"/>
      <c r="ESX2" s="61"/>
      <c r="ESY2" s="61"/>
      <c r="ESZ2" s="61"/>
      <c r="ETA2" s="61"/>
      <c r="ETB2" s="61"/>
      <c r="ETC2" s="61"/>
      <c r="ETD2" s="61"/>
      <c r="ETE2" s="61"/>
      <c r="ETF2" s="61"/>
      <c r="ETG2" s="61"/>
      <c r="ETH2" s="61"/>
      <c r="ETI2" s="61"/>
      <c r="ETJ2" s="61"/>
      <c r="ETK2" s="61"/>
      <c r="ETL2" s="61"/>
      <c r="ETM2" s="61"/>
      <c r="ETN2" s="61"/>
      <c r="ETO2" s="61"/>
      <c r="ETP2" s="61"/>
      <c r="ETQ2" s="61"/>
      <c r="ETR2" s="61"/>
      <c r="ETS2" s="61"/>
      <c r="ETT2" s="61"/>
      <c r="ETU2" s="61"/>
      <c r="ETV2" s="61"/>
      <c r="ETW2" s="61"/>
      <c r="ETX2" s="61"/>
      <c r="ETY2" s="61"/>
      <c r="ETZ2" s="61"/>
      <c r="EUA2" s="61"/>
      <c r="EUB2" s="61"/>
      <c r="EUC2" s="61"/>
      <c r="EUD2" s="61"/>
      <c r="EUE2" s="61"/>
      <c r="EUF2" s="61"/>
      <c r="EUG2" s="61"/>
      <c r="EUH2" s="61"/>
      <c r="EUI2" s="61"/>
      <c r="EUJ2" s="61"/>
      <c r="EUK2" s="61"/>
      <c r="EUL2" s="61"/>
      <c r="EUM2" s="61"/>
      <c r="EUN2" s="61"/>
      <c r="EUO2" s="61"/>
      <c r="EUP2" s="61"/>
      <c r="EUQ2" s="61"/>
      <c r="EUR2" s="61"/>
      <c r="EUS2" s="61"/>
      <c r="EUT2" s="61"/>
      <c r="EUU2" s="61"/>
      <c r="EUV2" s="61"/>
      <c r="EUW2" s="61"/>
      <c r="EUX2" s="61"/>
      <c r="EUY2" s="61"/>
      <c r="EUZ2" s="61"/>
      <c r="EVA2" s="61"/>
      <c r="EVB2" s="61"/>
      <c r="EVC2" s="61"/>
      <c r="EVD2" s="61"/>
      <c r="EVE2" s="61"/>
      <c r="EVF2" s="61"/>
      <c r="EVG2" s="61"/>
      <c r="EVH2" s="61"/>
      <c r="EVI2" s="61"/>
      <c r="EVJ2" s="61"/>
      <c r="EVK2" s="61"/>
      <c r="EVL2" s="61"/>
      <c r="EVM2" s="61"/>
      <c r="EVN2" s="61"/>
      <c r="EVO2" s="61"/>
      <c r="EVP2" s="61"/>
      <c r="EVQ2" s="61"/>
      <c r="EVR2" s="61"/>
      <c r="EVS2" s="61"/>
      <c r="EVT2" s="61"/>
      <c r="EVU2" s="61"/>
      <c r="EVV2" s="61"/>
      <c r="EVW2" s="61"/>
      <c r="EVX2" s="61"/>
      <c r="EVY2" s="61"/>
      <c r="EVZ2" s="61"/>
      <c r="EWA2" s="61"/>
      <c r="EWB2" s="61"/>
      <c r="EWC2" s="61"/>
      <c r="EWD2" s="61"/>
      <c r="EWE2" s="61"/>
      <c r="EWF2" s="61"/>
      <c r="EWG2" s="61"/>
      <c r="EWH2" s="61"/>
      <c r="EWI2" s="61"/>
      <c r="EWJ2" s="61"/>
      <c r="EWK2" s="61"/>
      <c r="EWL2" s="61"/>
      <c r="EWM2" s="61"/>
      <c r="EWN2" s="61"/>
      <c r="EWO2" s="61"/>
      <c r="EWP2" s="61"/>
      <c r="EWQ2" s="61"/>
      <c r="EWR2" s="61"/>
      <c r="EWS2" s="61"/>
      <c r="EWT2" s="61"/>
      <c r="EWU2" s="61"/>
      <c r="EWV2" s="61"/>
      <c r="EWW2" s="61"/>
      <c r="EWX2" s="61"/>
      <c r="EWY2" s="61"/>
      <c r="EWZ2" s="61"/>
      <c r="EXA2" s="61"/>
      <c r="EXB2" s="61"/>
      <c r="EXC2" s="61"/>
      <c r="EXD2" s="61"/>
      <c r="EXE2" s="61"/>
      <c r="EXF2" s="61"/>
      <c r="EXG2" s="61"/>
      <c r="EXH2" s="61"/>
      <c r="EXI2" s="61"/>
      <c r="EXJ2" s="61"/>
      <c r="EXK2" s="61"/>
      <c r="EXL2" s="61"/>
      <c r="EXM2" s="61"/>
      <c r="EXN2" s="61"/>
      <c r="EXO2" s="61"/>
      <c r="EXP2" s="61"/>
      <c r="EXQ2" s="61"/>
      <c r="EXR2" s="61"/>
      <c r="EXS2" s="61"/>
      <c r="EXT2" s="61"/>
      <c r="EXU2" s="61"/>
      <c r="EXV2" s="61"/>
      <c r="EXW2" s="61"/>
      <c r="EXX2" s="61"/>
      <c r="EXY2" s="61"/>
      <c r="EXZ2" s="61"/>
      <c r="EYA2" s="61"/>
      <c r="EYB2" s="61"/>
      <c r="EYC2" s="61"/>
      <c r="EYD2" s="61"/>
      <c r="EYE2" s="61"/>
      <c r="EYF2" s="61"/>
      <c r="EYG2" s="61"/>
      <c r="EYH2" s="61"/>
      <c r="EYI2" s="61"/>
      <c r="EYJ2" s="61"/>
      <c r="EYK2" s="61"/>
      <c r="EYL2" s="61"/>
      <c r="EYM2" s="61"/>
      <c r="EYN2" s="61"/>
      <c r="EYO2" s="61"/>
      <c r="EYP2" s="61"/>
      <c r="EYQ2" s="61"/>
      <c r="EYR2" s="61"/>
      <c r="EYS2" s="61"/>
      <c r="EYT2" s="61"/>
      <c r="EYU2" s="61"/>
      <c r="EYV2" s="61"/>
      <c r="EYW2" s="61"/>
      <c r="EYX2" s="61"/>
      <c r="EYY2" s="61"/>
      <c r="EYZ2" s="61"/>
      <c r="EZA2" s="61"/>
      <c r="EZB2" s="61"/>
      <c r="EZC2" s="61"/>
      <c r="EZD2" s="61"/>
      <c r="EZE2" s="61"/>
      <c r="EZF2" s="61"/>
      <c r="EZG2" s="61"/>
      <c r="EZH2" s="61"/>
      <c r="EZI2" s="61"/>
      <c r="EZJ2" s="61"/>
      <c r="EZK2" s="61"/>
      <c r="EZL2" s="61"/>
      <c r="EZM2" s="61"/>
      <c r="EZN2" s="61"/>
      <c r="EZO2" s="61"/>
      <c r="EZP2" s="61"/>
      <c r="EZQ2" s="61"/>
      <c r="EZR2" s="61"/>
      <c r="EZS2" s="61"/>
      <c r="EZT2" s="61"/>
      <c r="EZU2" s="61"/>
      <c r="EZV2" s="61"/>
      <c r="EZW2" s="61"/>
      <c r="EZX2" s="61"/>
      <c r="EZY2" s="61"/>
      <c r="EZZ2" s="61"/>
      <c r="FAA2" s="61"/>
      <c r="FAB2" s="61"/>
      <c r="FAC2" s="61"/>
      <c r="FAD2" s="61"/>
      <c r="FAE2" s="61"/>
      <c r="FAF2" s="61"/>
      <c r="FAG2" s="61"/>
      <c r="FAH2" s="61"/>
      <c r="FAI2" s="61"/>
      <c r="FAJ2" s="61"/>
      <c r="FAK2" s="61"/>
      <c r="FAL2" s="61"/>
      <c r="FAM2" s="61"/>
      <c r="FAN2" s="61"/>
      <c r="FAO2" s="61"/>
      <c r="FAP2" s="61"/>
      <c r="FAQ2" s="61"/>
      <c r="FAR2" s="61"/>
      <c r="FAS2" s="61"/>
      <c r="FAT2" s="61"/>
      <c r="FAU2" s="61"/>
      <c r="FAV2" s="61"/>
      <c r="FAW2" s="61"/>
      <c r="FAX2" s="61"/>
      <c r="FAY2" s="61"/>
      <c r="FAZ2" s="61"/>
      <c r="FBA2" s="61"/>
      <c r="FBB2" s="61"/>
      <c r="FBC2" s="61"/>
      <c r="FBD2" s="61"/>
      <c r="FBE2" s="61"/>
      <c r="FBF2" s="61"/>
      <c r="FBG2" s="61"/>
      <c r="FBH2" s="61"/>
      <c r="FBI2" s="61"/>
      <c r="FBJ2" s="61"/>
      <c r="FBK2" s="61"/>
      <c r="FBL2" s="61"/>
      <c r="FBM2" s="61"/>
      <c r="FBN2" s="61"/>
      <c r="FBO2" s="61"/>
      <c r="FBP2" s="61"/>
      <c r="FBQ2" s="61"/>
      <c r="FBR2" s="61"/>
      <c r="FBS2" s="61"/>
      <c r="FBT2" s="61"/>
      <c r="FBU2" s="61"/>
      <c r="FBV2" s="61"/>
      <c r="FBW2" s="61"/>
      <c r="FBX2" s="61"/>
      <c r="FBY2" s="61"/>
      <c r="FBZ2" s="61"/>
      <c r="FCA2" s="61"/>
      <c r="FCB2" s="61"/>
      <c r="FCC2" s="61"/>
      <c r="FCD2" s="61"/>
      <c r="FCE2" s="61"/>
      <c r="FCF2" s="61"/>
      <c r="FCG2" s="61"/>
      <c r="FCH2" s="61"/>
      <c r="FCI2" s="61"/>
      <c r="FCJ2" s="61"/>
      <c r="FCK2" s="61"/>
      <c r="FCL2" s="61"/>
      <c r="FCM2" s="61"/>
      <c r="FCN2" s="61"/>
      <c r="FCO2" s="61"/>
      <c r="FCP2" s="61"/>
      <c r="FCQ2" s="61"/>
      <c r="FCR2" s="61"/>
      <c r="FCS2" s="61"/>
      <c r="FCT2" s="61"/>
      <c r="FCU2" s="61"/>
      <c r="FCV2" s="61"/>
      <c r="FCW2" s="61"/>
      <c r="FCX2" s="61"/>
      <c r="FCY2" s="61"/>
      <c r="FCZ2" s="61"/>
      <c r="FDA2" s="61"/>
      <c r="FDB2" s="61"/>
      <c r="FDC2" s="61"/>
      <c r="FDD2" s="61"/>
      <c r="FDE2" s="61"/>
      <c r="FDF2" s="61"/>
      <c r="FDG2" s="61"/>
      <c r="FDH2" s="61"/>
      <c r="FDI2" s="61"/>
      <c r="FDJ2" s="61"/>
      <c r="FDK2" s="61"/>
      <c r="FDL2" s="61"/>
      <c r="FDM2" s="61"/>
      <c r="FDN2" s="61"/>
      <c r="FDO2" s="61"/>
      <c r="FDP2" s="61"/>
      <c r="FDQ2" s="61"/>
      <c r="FDR2" s="61"/>
      <c r="FDS2" s="61"/>
      <c r="FDT2" s="61"/>
      <c r="FDU2" s="61"/>
      <c r="FDV2" s="61"/>
      <c r="FDW2" s="61"/>
      <c r="FDX2" s="61"/>
      <c r="FDY2" s="61"/>
      <c r="FDZ2" s="61"/>
      <c r="FEA2" s="61"/>
      <c r="FEB2" s="61"/>
      <c r="FEC2" s="61"/>
      <c r="FED2" s="61"/>
      <c r="FEE2" s="61"/>
      <c r="FEF2" s="61"/>
      <c r="FEG2" s="61"/>
      <c r="FEH2" s="61"/>
      <c r="FEI2" s="61"/>
      <c r="FEJ2" s="61"/>
      <c r="FEK2" s="61"/>
      <c r="FEL2" s="61"/>
      <c r="FEM2" s="61"/>
      <c r="FEN2" s="61"/>
      <c r="FEO2" s="61"/>
      <c r="FEP2" s="61"/>
      <c r="FEQ2" s="61"/>
      <c r="FER2" s="61"/>
      <c r="FES2" s="61"/>
      <c r="FET2" s="61"/>
      <c r="FEU2" s="61"/>
      <c r="FEV2" s="61"/>
      <c r="FEW2" s="61"/>
      <c r="FEX2" s="61"/>
      <c r="FEY2" s="61"/>
      <c r="FEZ2" s="61"/>
      <c r="FFA2" s="61"/>
      <c r="FFB2" s="61"/>
      <c r="FFC2" s="61"/>
      <c r="FFD2" s="61"/>
      <c r="FFE2" s="61"/>
      <c r="FFF2" s="61"/>
      <c r="FFG2" s="61"/>
      <c r="FFH2" s="61"/>
      <c r="FFI2" s="61"/>
      <c r="FFJ2" s="61"/>
      <c r="FFK2" s="61"/>
      <c r="FFL2" s="61"/>
      <c r="FFM2" s="61"/>
      <c r="FFN2" s="61"/>
      <c r="FFO2" s="61"/>
      <c r="FFP2" s="61"/>
      <c r="FFQ2" s="61"/>
      <c r="FFR2" s="61"/>
      <c r="FFS2" s="61"/>
      <c r="FFT2" s="61"/>
      <c r="FFU2" s="61"/>
      <c r="FFV2" s="61"/>
      <c r="FFW2" s="61"/>
      <c r="FFX2" s="61"/>
      <c r="FFY2" s="61"/>
      <c r="FFZ2" s="61"/>
      <c r="FGA2" s="61"/>
      <c r="FGB2" s="61"/>
      <c r="FGC2" s="61"/>
      <c r="FGD2" s="61"/>
      <c r="FGE2" s="61"/>
      <c r="FGF2" s="61"/>
      <c r="FGG2" s="61"/>
      <c r="FGH2" s="61"/>
      <c r="FGI2" s="61"/>
      <c r="FGJ2" s="61"/>
      <c r="FGK2" s="61"/>
      <c r="FGL2" s="61"/>
      <c r="FGM2" s="61"/>
      <c r="FGN2" s="61"/>
      <c r="FGO2" s="61"/>
      <c r="FGP2" s="61"/>
      <c r="FGQ2" s="61"/>
      <c r="FGR2" s="61"/>
      <c r="FGS2" s="61"/>
      <c r="FGT2" s="61"/>
      <c r="FGU2" s="61"/>
      <c r="FGV2" s="61"/>
      <c r="FGW2" s="61"/>
      <c r="FGX2" s="61"/>
      <c r="FGY2" s="61"/>
      <c r="FGZ2" s="61"/>
      <c r="FHA2" s="61"/>
      <c r="FHB2" s="61"/>
      <c r="FHC2" s="61"/>
      <c r="FHD2" s="61"/>
      <c r="FHE2" s="61"/>
      <c r="FHF2" s="61"/>
      <c r="FHG2" s="61"/>
      <c r="FHH2" s="61"/>
      <c r="FHI2" s="61"/>
      <c r="FHJ2" s="61"/>
      <c r="FHK2" s="61"/>
      <c r="FHL2" s="61"/>
      <c r="FHM2" s="61"/>
      <c r="FHN2" s="61"/>
      <c r="FHO2" s="61"/>
      <c r="FHP2" s="61"/>
      <c r="FHQ2" s="61"/>
      <c r="FHR2" s="61"/>
      <c r="FHS2" s="61"/>
      <c r="FHT2" s="61"/>
      <c r="FHU2" s="61"/>
      <c r="FHV2" s="61"/>
      <c r="FHW2" s="61"/>
      <c r="FHX2" s="61"/>
      <c r="FHY2" s="61"/>
      <c r="FHZ2" s="61"/>
      <c r="FIA2" s="61"/>
      <c r="FIB2" s="61"/>
      <c r="FIC2" s="61"/>
      <c r="FID2" s="61"/>
      <c r="FIE2" s="61"/>
      <c r="FIF2" s="61"/>
      <c r="FIG2" s="61"/>
      <c r="FIH2" s="61"/>
      <c r="FII2" s="61"/>
      <c r="FIJ2" s="61"/>
      <c r="FIK2" s="61"/>
      <c r="FIL2" s="61"/>
      <c r="FIM2" s="61"/>
      <c r="FIN2" s="61"/>
      <c r="FIO2" s="61"/>
      <c r="FIP2" s="61"/>
      <c r="FIQ2" s="61"/>
      <c r="FIR2" s="61"/>
      <c r="FIS2" s="61"/>
      <c r="FIT2" s="61"/>
      <c r="FIU2" s="61"/>
      <c r="FIV2" s="61"/>
      <c r="FIW2" s="61"/>
      <c r="FIX2" s="61"/>
      <c r="FIY2" s="61"/>
      <c r="FIZ2" s="61"/>
      <c r="FJA2" s="61"/>
      <c r="FJB2" s="61"/>
      <c r="FJC2" s="61"/>
      <c r="FJD2" s="61"/>
      <c r="FJE2" s="61"/>
      <c r="FJF2" s="61"/>
      <c r="FJG2" s="61"/>
      <c r="FJH2" s="61"/>
      <c r="FJI2" s="61"/>
      <c r="FJJ2" s="61"/>
      <c r="FJK2" s="61"/>
      <c r="FJL2" s="61"/>
      <c r="FJM2" s="61"/>
      <c r="FJN2" s="61"/>
      <c r="FJO2" s="61"/>
      <c r="FJP2" s="61"/>
      <c r="FJQ2" s="61"/>
      <c r="FJR2" s="61"/>
      <c r="FJS2" s="61"/>
      <c r="FJT2" s="61"/>
      <c r="FJU2" s="61"/>
      <c r="FJV2" s="61"/>
      <c r="FJW2" s="61"/>
      <c r="FJX2" s="61"/>
      <c r="FJY2" s="61"/>
      <c r="FJZ2" s="61"/>
      <c r="FKA2" s="61"/>
      <c r="FKB2" s="61"/>
      <c r="FKC2" s="61"/>
      <c r="FKD2" s="61"/>
      <c r="FKE2" s="61"/>
      <c r="FKF2" s="61"/>
      <c r="FKG2" s="61"/>
      <c r="FKH2" s="61"/>
      <c r="FKI2" s="61"/>
      <c r="FKJ2" s="61"/>
      <c r="FKK2" s="61"/>
      <c r="FKL2" s="61"/>
      <c r="FKM2" s="61"/>
      <c r="FKN2" s="61"/>
      <c r="FKO2" s="61"/>
      <c r="FKP2" s="61"/>
      <c r="FKQ2" s="61"/>
      <c r="FKR2" s="61"/>
      <c r="FKS2" s="61"/>
      <c r="FKT2" s="61"/>
      <c r="FKU2" s="61"/>
      <c r="FKV2" s="61"/>
      <c r="FKW2" s="61"/>
      <c r="FKX2" s="61"/>
      <c r="FKY2" s="61"/>
      <c r="FKZ2" s="61"/>
      <c r="FLA2" s="61"/>
      <c r="FLB2" s="61"/>
      <c r="FLC2" s="61"/>
      <c r="FLD2" s="61"/>
      <c r="FLE2" s="61"/>
      <c r="FLF2" s="61"/>
      <c r="FLG2" s="61"/>
      <c r="FLH2" s="61"/>
      <c r="FLI2" s="61"/>
      <c r="FLJ2" s="61"/>
      <c r="FLK2" s="61"/>
      <c r="FLL2" s="61"/>
      <c r="FLM2" s="61"/>
      <c r="FLN2" s="61"/>
      <c r="FLO2" s="61"/>
      <c r="FLP2" s="61"/>
      <c r="FLQ2" s="61"/>
      <c r="FLR2" s="61"/>
      <c r="FLS2" s="61"/>
      <c r="FLT2" s="61"/>
      <c r="FLU2" s="61"/>
      <c r="FLV2" s="61"/>
      <c r="FLW2" s="61"/>
      <c r="FLX2" s="61"/>
      <c r="FLY2" s="61"/>
      <c r="FLZ2" s="61"/>
      <c r="FMA2" s="61"/>
      <c r="FMB2" s="61"/>
      <c r="FMC2" s="61"/>
      <c r="FMD2" s="61"/>
      <c r="FME2" s="61"/>
      <c r="FMF2" s="61"/>
      <c r="FMG2" s="61"/>
      <c r="FMH2" s="61"/>
      <c r="FMI2" s="61"/>
      <c r="FMJ2" s="61"/>
      <c r="FMK2" s="61"/>
      <c r="FML2" s="61"/>
      <c r="FMM2" s="61"/>
      <c r="FMN2" s="61"/>
      <c r="FMO2" s="61"/>
      <c r="FMP2" s="61"/>
      <c r="FMQ2" s="61"/>
      <c r="FMR2" s="61"/>
      <c r="FMS2" s="61"/>
      <c r="FMT2" s="61"/>
      <c r="FMU2" s="61"/>
      <c r="FMV2" s="61"/>
      <c r="FMW2" s="61"/>
      <c r="FMX2" s="61"/>
      <c r="FMY2" s="61"/>
      <c r="FMZ2" s="61"/>
      <c r="FNA2" s="61"/>
      <c r="FNB2" s="61"/>
      <c r="FNC2" s="61"/>
      <c r="FND2" s="61"/>
      <c r="FNE2" s="61"/>
      <c r="FNF2" s="61"/>
      <c r="FNG2" s="61"/>
      <c r="FNH2" s="61"/>
      <c r="FNI2" s="61"/>
      <c r="FNJ2" s="61"/>
      <c r="FNK2" s="61"/>
      <c r="FNL2" s="61"/>
      <c r="FNM2" s="61"/>
      <c r="FNN2" s="61"/>
      <c r="FNO2" s="61"/>
      <c r="FNP2" s="61"/>
      <c r="FNQ2" s="61"/>
      <c r="FNR2" s="61"/>
      <c r="FNS2" s="61"/>
      <c r="FNT2" s="61"/>
      <c r="FNU2" s="61"/>
      <c r="FNV2" s="61"/>
      <c r="FNW2" s="61"/>
      <c r="FNX2" s="61"/>
      <c r="FNY2" s="61"/>
      <c r="FNZ2" s="61"/>
      <c r="FOA2" s="61"/>
      <c r="FOB2" s="61"/>
      <c r="FOC2" s="61"/>
      <c r="FOD2" s="61"/>
      <c r="FOE2" s="61"/>
      <c r="FOF2" s="61"/>
      <c r="FOG2" s="61"/>
      <c r="FOH2" s="61"/>
      <c r="FOI2" s="61"/>
      <c r="FOJ2" s="61"/>
      <c r="FOK2" s="61"/>
      <c r="FOL2" s="61"/>
      <c r="FOM2" s="61"/>
      <c r="FON2" s="61"/>
      <c r="FOO2" s="61"/>
      <c r="FOP2" s="61"/>
      <c r="FOQ2" s="61"/>
      <c r="FOR2" s="61"/>
      <c r="FOS2" s="61"/>
      <c r="FOT2" s="61"/>
      <c r="FOU2" s="61"/>
      <c r="FOV2" s="61"/>
      <c r="FOW2" s="61"/>
      <c r="FOX2" s="61"/>
      <c r="FOY2" s="61"/>
      <c r="FOZ2" s="61"/>
      <c r="FPA2" s="61"/>
      <c r="FPB2" s="61"/>
      <c r="FPC2" s="61"/>
      <c r="FPD2" s="61"/>
      <c r="FPE2" s="61"/>
      <c r="FPF2" s="61"/>
      <c r="FPG2" s="61"/>
      <c r="FPH2" s="61"/>
      <c r="FPI2" s="61"/>
      <c r="FPJ2" s="61"/>
      <c r="FPK2" s="61"/>
      <c r="FPL2" s="61"/>
      <c r="FPM2" s="61"/>
      <c r="FPN2" s="61"/>
      <c r="FPO2" s="61"/>
      <c r="FPP2" s="61"/>
      <c r="FPQ2" s="61"/>
      <c r="FPR2" s="61"/>
      <c r="FPS2" s="61"/>
      <c r="FPT2" s="61"/>
      <c r="FPU2" s="61"/>
      <c r="FPV2" s="61"/>
      <c r="FPW2" s="61"/>
      <c r="FPX2" s="61"/>
      <c r="FPY2" s="61"/>
      <c r="FPZ2" s="61"/>
      <c r="FQA2" s="61"/>
      <c r="FQB2" s="61"/>
      <c r="FQC2" s="61"/>
      <c r="FQD2" s="61"/>
      <c r="FQE2" s="61"/>
      <c r="FQF2" s="61"/>
      <c r="FQG2" s="61"/>
      <c r="FQH2" s="61"/>
      <c r="FQI2" s="61"/>
      <c r="FQJ2" s="61"/>
      <c r="FQK2" s="61"/>
      <c r="FQL2" s="61"/>
      <c r="FQM2" s="61"/>
      <c r="FQN2" s="61"/>
      <c r="FQO2" s="61"/>
      <c r="FQP2" s="61"/>
      <c r="FQQ2" s="61"/>
      <c r="FQR2" s="61"/>
      <c r="FQS2" s="61"/>
      <c r="FQT2" s="61"/>
      <c r="FQU2" s="61"/>
      <c r="FQV2" s="61"/>
      <c r="FQW2" s="61"/>
      <c r="FQX2" s="61"/>
      <c r="FQY2" s="61"/>
      <c r="FQZ2" s="61"/>
      <c r="FRA2" s="61"/>
      <c r="FRB2" s="61"/>
      <c r="FRC2" s="61"/>
      <c r="FRD2" s="61"/>
      <c r="FRE2" s="61"/>
      <c r="FRF2" s="61"/>
      <c r="FRG2" s="61"/>
      <c r="FRH2" s="61"/>
      <c r="FRI2" s="61"/>
      <c r="FRJ2" s="61"/>
      <c r="FRK2" s="61"/>
      <c r="FRL2" s="61"/>
      <c r="FRM2" s="61"/>
      <c r="FRN2" s="61"/>
      <c r="FRO2" s="61"/>
      <c r="FRP2" s="61"/>
      <c r="FRQ2" s="61"/>
      <c r="FRR2" s="61"/>
      <c r="FRS2" s="61"/>
      <c r="FRT2" s="61"/>
      <c r="FRU2" s="61"/>
      <c r="FRV2" s="61"/>
      <c r="FRW2" s="61"/>
      <c r="FRX2" s="61"/>
      <c r="FRY2" s="61"/>
      <c r="FRZ2" s="61"/>
      <c r="FSA2" s="61"/>
      <c r="FSB2" s="61"/>
      <c r="FSC2" s="61"/>
      <c r="FSD2" s="61"/>
      <c r="FSE2" s="61"/>
      <c r="FSF2" s="61"/>
      <c r="FSG2" s="61"/>
      <c r="FSH2" s="61"/>
      <c r="FSI2" s="61"/>
      <c r="FSJ2" s="61"/>
      <c r="FSK2" s="61"/>
      <c r="FSL2" s="61"/>
      <c r="FSM2" s="61"/>
      <c r="FSN2" s="61"/>
      <c r="FSO2" s="61"/>
      <c r="FSP2" s="61"/>
      <c r="FSQ2" s="61"/>
      <c r="FSR2" s="61"/>
      <c r="FSS2" s="61"/>
      <c r="FST2" s="61"/>
      <c r="FSU2" s="61"/>
      <c r="FSV2" s="61"/>
      <c r="FSW2" s="61"/>
      <c r="FSX2" s="61"/>
      <c r="FSY2" s="61"/>
      <c r="FSZ2" s="61"/>
      <c r="FTA2" s="61"/>
      <c r="FTB2" s="61"/>
      <c r="FTC2" s="61"/>
      <c r="FTD2" s="61"/>
      <c r="FTE2" s="61"/>
      <c r="FTF2" s="61"/>
      <c r="FTG2" s="61"/>
      <c r="FTH2" s="61"/>
      <c r="FTI2" s="61"/>
      <c r="FTJ2" s="61"/>
      <c r="FTK2" s="61"/>
      <c r="FTL2" s="61"/>
      <c r="FTM2" s="61"/>
      <c r="FTN2" s="61"/>
      <c r="FTO2" s="61"/>
      <c r="FTP2" s="61"/>
      <c r="FTQ2" s="61"/>
      <c r="FTR2" s="61"/>
      <c r="FTS2" s="61"/>
      <c r="FTT2" s="61"/>
      <c r="FTU2" s="61"/>
      <c r="FTV2" s="61"/>
      <c r="FTW2" s="61"/>
      <c r="FTX2" s="61"/>
      <c r="FTY2" s="61"/>
      <c r="FTZ2" s="61"/>
      <c r="FUA2" s="61"/>
      <c r="FUB2" s="61"/>
      <c r="FUC2" s="61"/>
      <c r="FUD2" s="61"/>
      <c r="FUE2" s="61"/>
      <c r="FUF2" s="61"/>
      <c r="FUG2" s="61"/>
      <c r="FUH2" s="61"/>
      <c r="FUI2" s="61"/>
      <c r="FUJ2" s="61"/>
      <c r="FUK2" s="61"/>
      <c r="FUL2" s="61"/>
      <c r="FUM2" s="61"/>
      <c r="FUN2" s="61"/>
      <c r="FUO2" s="61"/>
      <c r="FUP2" s="61"/>
      <c r="FUQ2" s="61"/>
      <c r="FUR2" s="61"/>
      <c r="FUS2" s="61"/>
      <c r="FUT2" s="61"/>
      <c r="FUU2" s="61"/>
      <c r="FUV2" s="61"/>
      <c r="FUW2" s="61"/>
      <c r="FUX2" s="61"/>
      <c r="FUY2" s="61"/>
      <c r="FUZ2" s="61"/>
      <c r="FVA2" s="61"/>
      <c r="FVB2" s="61"/>
      <c r="FVC2" s="61"/>
      <c r="FVD2" s="61"/>
      <c r="FVE2" s="61"/>
      <c r="FVF2" s="61"/>
      <c r="FVG2" s="61"/>
      <c r="FVH2" s="61"/>
      <c r="FVI2" s="61"/>
      <c r="FVJ2" s="61"/>
      <c r="FVK2" s="61"/>
      <c r="FVL2" s="61"/>
      <c r="FVM2" s="61"/>
      <c r="FVN2" s="61"/>
      <c r="FVO2" s="61"/>
      <c r="FVP2" s="61"/>
      <c r="FVQ2" s="61"/>
      <c r="FVR2" s="61"/>
      <c r="FVS2" s="61"/>
      <c r="FVT2" s="61"/>
      <c r="FVU2" s="61"/>
      <c r="FVV2" s="61"/>
      <c r="FVW2" s="61"/>
      <c r="FVX2" s="61"/>
      <c r="FVY2" s="61"/>
      <c r="FVZ2" s="61"/>
      <c r="FWA2" s="61"/>
      <c r="FWB2" s="61"/>
      <c r="FWC2" s="61"/>
      <c r="FWD2" s="61"/>
      <c r="FWE2" s="61"/>
      <c r="FWF2" s="61"/>
      <c r="FWG2" s="61"/>
      <c r="FWH2" s="61"/>
      <c r="FWI2" s="61"/>
      <c r="FWJ2" s="61"/>
      <c r="FWK2" s="61"/>
      <c r="FWL2" s="61"/>
      <c r="FWM2" s="61"/>
      <c r="FWN2" s="61"/>
      <c r="FWO2" s="61"/>
      <c r="FWP2" s="61"/>
      <c r="FWQ2" s="61"/>
      <c r="FWR2" s="61"/>
      <c r="FWS2" s="61"/>
      <c r="FWT2" s="61"/>
      <c r="FWU2" s="61"/>
      <c r="FWV2" s="61"/>
      <c r="FWW2" s="61"/>
      <c r="FWX2" s="61"/>
      <c r="FWY2" s="61"/>
      <c r="FWZ2" s="61"/>
      <c r="FXA2" s="61"/>
      <c r="FXB2" s="61"/>
      <c r="FXC2" s="61"/>
      <c r="FXD2" s="61"/>
      <c r="FXE2" s="61"/>
      <c r="FXF2" s="61"/>
      <c r="FXG2" s="61"/>
      <c r="FXH2" s="61"/>
      <c r="FXI2" s="61"/>
      <c r="FXJ2" s="61"/>
      <c r="FXK2" s="61"/>
      <c r="FXL2" s="61"/>
      <c r="FXM2" s="61"/>
      <c r="FXN2" s="61"/>
      <c r="FXO2" s="61"/>
      <c r="FXP2" s="61"/>
      <c r="FXQ2" s="61"/>
      <c r="FXR2" s="61"/>
      <c r="FXS2" s="61"/>
      <c r="FXT2" s="61"/>
      <c r="FXU2" s="61"/>
      <c r="FXV2" s="61"/>
      <c r="FXW2" s="61"/>
      <c r="FXX2" s="61"/>
      <c r="FXY2" s="61"/>
      <c r="FXZ2" s="61"/>
      <c r="FYA2" s="61"/>
      <c r="FYB2" s="61"/>
      <c r="FYC2" s="61"/>
      <c r="FYD2" s="61"/>
      <c r="FYE2" s="61"/>
      <c r="FYF2" s="61"/>
      <c r="FYG2" s="61"/>
      <c r="FYH2" s="61"/>
      <c r="FYI2" s="61"/>
      <c r="FYJ2" s="61"/>
      <c r="FYK2" s="61"/>
      <c r="FYL2" s="61"/>
      <c r="FYM2" s="61"/>
      <c r="FYN2" s="61"/>
      <c r="FYO2" s="61"/>
      <c r="FYP2" s="61"/>
      <c r="FYQ2" s="61"/>
      <c r="FYR2" s="61"/>
      <c r="FYS2" s="61"/>
      <c r="FYT2" s="61"/>
      <c r="FYU2" s="61"/>
      <c r="FYV2" s="61"/>
      <c r="FYW2" s="61"/>
      <c r="FYX2" s="61"/>
      <c r="FYY2" s="61"/>
      <c r="FYZ2" s="61"/>
      <c r="FZA2" s="61"/>
      <c r="FZB2" s="61"/>
      <c r="FZC2" s="61"/>
      <c r="FZD2" s="61"/>
      <c r="FZE2" s="61"/>
      <c r="FZF2" s="61"/>
      <c r="FZG2" s="61"/>
      <c r="FZH2" s="61"/>
      <c r="FZI2" s="61"/>
      <c r="FZJ2" s="61"/>
      <c r="FZK2" s="61"/>
      <c r="FZL2" s="61"/>
      <c r="FZM2" s="61"/>
      <c r="FZN2" s="61"/>
      <c r="FZO2" s="61"/>
      <c r="FZP2" s="61"/>
      <c r="FZQ2" s="61"/>
      <c r="FZR2" s="61"/>
      <c r="FZS2" s="61"/>
      <c r="FZT2" s="61"/>
      <c r="FZU2" s="61"/>
      <c r="FZV2" s="61"/>
      <c r="FZW2" s="61"/>
      <c r="FZX2" s="61"/>
      <c r="FZY2" s="61"/>
      <c r="FZZ2" s="61"/>
      <c r="GAA2" s="61"/>
      <c r="GAB2" s="61"/>
      <c r="GAC2" s="61"/>
      <c r="GAD2" s="61"/>
      <c r="GAE2" s="61"/>
      <c r="GAF2" s="61"/>
      <c r="GAG2" s="61"/>
      <c r="GAH2" s="61"/>
      <c r="GAI2" s="61"/>
      <c r="GAJ2" s="61"/>
      <c r="GAK2" s="61"/>
      <c r="GAL2" s="61"/>
      <c r="GAM2" s="61"/>
      <c r="GAN2" s="61"/>
      <c r="GAO2" s="61"/>
      <c r="GAP2" s="61"/>
      <c r="GAQ2" s="61"/>
      <c r="GAR2" s="61"/>
      <c r="GAS2" s="61"/>
      <c r="GAT2" s="61"/>
      <c r="GAU2" s="61"/>
      <c r="GAV2" s="61"/>
      <c r="GAW2" s="61"/>
      <c r="GAX2" s="61"/>
      <c r="GAY2" s="61"/>
      <c r="GAZ2" s="61"/>
      <c r="GBA2" s="61"/>
      <c r="GBB2" s="61"/>
      <c r="GBC2" s="61"/>
      <c r="GBD2" s="61"/>
      <c r="GBE2" s="61"/>
      <c r="GBF2" s="61"/>
      <c r="GBG2" s="61"/>
      <c r="GBH2" s="61"/>
      <c r="GBI2" s="61"/>
      <c r="GBJ2" s="61"/>
      <c r="GBK2" s="61"/>
      <c r="GBL2" s="61"/>
      <c r="GBM2" s="61"/>
      <c r="GBN2" s="61"/>
      <c r="GBO2" s="61"/>
      <c r="GBP2" s="61"/>
      <c r="GBQ2" s="61"/>
      <c r="GBR2" s="61"/>
      <c r="GBS2" s="61"/>
      <c r="GBT2" s="61"/>
      <c r="GBU2" s="61"/>
      <c r="GBV2" s="61"/>
      <c r="GBW2" s="61"/>
      <c r="GBX2" s="61"/>
      <c r="GBY2" s="61"/>
      <c r="GBZ2" s="61"/>
      <c r="GCA2" s="61"/>
      <c r="GCB2" s="61"/>
      <c r="GCC2" s="61"/>
      <c r="GCD2" s="61"/>
      <c r="GCE2" s="61"/>
      <c r="GCF2" s="61"/>
      <c r="GCG2" s="61"/>
      <c r="GCH2" s="61"/>
      <c r="GCI2" s="61"/>
      <c r="GCJ2" s="61"/>
      <c r="GCK2" s="61"/>
      <c r="GCL2" s="61"/>
      <c r="GCM2" s="61"/>
      <c r="GCN2" s="61"/>
      <c r="GCO2" s="61"/>
      <c r="GCP2" s="61"/>
      <c r="GCQ2" s="61"/>
      <c r="GCR2" s="61"/>
      <c r="GCS2" s="61"/>
      <c r="GCT2" s="61"/>
      <c r="GCU2" s="61"/>
      <c r="GCV2" s="61"/>
      <c r="GCW2" s="61"/>
      <c r="GCX2" s="61"/>
      <c r="GCY2" s="61"/>
      <c r="GCZ2" s="61"/>
      <c r="GDA2" s="61"/>
      <c r="GDB2" s="61"/>
      <c r="GDC2" s="61"/>
      <c r="GDD2" s="61"/>
      <c r="GDE2" s="61"/>
      <c r="GDF2" s="61"/>
      <c r="GDG2" s="61"/>
      <c r="GDH2" s="61"/>
      <c r="GDI2" s="61"/>
      <c r="GDJ2" s="61"/>
      <c r="GDK2" s="61"/>
      <c r="GDL2" s="61"/>
      <c r="GDM2" s="61"/>
      <c r="GDN2" s="61"/>
      <c r="GDO2" s="61"/>
      <c r="GDP2" s="61"/>
      <c r="GDQ2" s="61"/>
      <c r="GDR2" s="61"/>
      <c r="GDS2" s="61"/>
      <c r="GDT2" s="61"/>
      <c r="GDU2" s="61"/>
      <c r="GDV2" s="61"/>
      <c r="GDW2" s="61"/>
      <c r="GDX2" s="61"/>
      <c r="GDY2" s="61"/>
      <c r="GDZ2" s="61"/>
      <c r="GEA2" s="61"/>
      <c r="GEB2" s="61"/>
      <c r="GEC2" s="61"/>
      <c r="GED2" s="61"/>
      <c r="GEE2" s="61"/>
      <c r="GEF2" s="61"/>
      <c r="GEG2" s="61"/>
      <c r="GEH2" s="61"/>
      <c r="GEI2" s="61"/>
      <c r="GEJ2" s="61"/>
      <c r="GEK2" s="61"/>
      <c r="GEL2" s="61"/>
      <c r="GEM2" s="61"/>
      <c r="GEN2" s="61"/>
      <c r="GEO2" s="61"/>
      <c r="GEP2" s="61"/>
      <c r="GEQ2" s="61"/>
      <c r="GER2" s="61"/>
      <c r="GES2" s="61"/>
      <c r="GET2" s="61"/>
      <c r="GEU2" s="61"/>
      <c r="GEV2" s="61"/>
      <c r="GEW2" s="61"/>
      <c r="GEX2" s="61"/>
      <c r="GEY2" s="61"/>
      <c r="GEZ2" s="61"/>
      <c r="GFA2" s="61"/>
      <c r="GFB2" s="61"/>
      <c r="GFC2" s="61"/>
      <c r="GFD2" s="61"/>
      <c r="GFE2" s="61"/>
      <c r="GFF2" s="61"/>
      <c r="GFG2" s="61"/>
      <c r="GFH2" s="61"/>
      <c r="GFI2" s="61"/>
      <c r="GFJ2" s="61"/>
      <c r="GFK2" s="61"/>
      <c r="GFL2" s="61"/>
      <c r="GFM2" s="61"/>
      <c r="GFN2" s="61"/>
      <c r="GFO2" s="61"/>
      <c r="GFP2" s="61"/>
      <c r="GFQ2" s="61"/>
      <c r="GFR2" s="61"/>
      <c r="GFS2" s="61"/>
      <c r="GFT2" s="61"/>
      <c r="GFU2" s="61"/>
      <c r="GFV2" s="61"/>
      <c r="GFW2" s="61"/>
      <c r="GFX2" s="61"/>
      <c r="GFY2" s="61"/>
      <c r="GFZ2" s="61"/>
      <c r="GGA2" s="61"/>
      <c r="GGB2" s="61"/>
      <c r="GGC2" s="61"/>
      <c r="GGD2" s="61"/>
      <c r="GGE2" s="61"/>
      <c r="GGF2" s="61"/>
      <c r="GGG2" s="61"/>
      <c r="GGH2" s="61"/>
      <c r="GGI2" s="61"/>
      <c r="GGJ2" s="61"/>
      <c r="GGK2" s="61"/>
      <c r="GGL2" s="61"/>
      <c r="GGM2" s="61"/>
      <c r="GGN2" s="61"/>
      <c r="GGO2" s="61"/>
      <c r="GGP2" s="61"/>
      <c r="GGQ2" s="61"/>
      <c r="GGR2" s="61"/>
      <c r="GGS2" s="61"/>
      <c r="GGT2" s="61"/>
      <c r="GGU2" s="61"/>
      <c r="GGV2" s="61"/>
      <c r="GGW2" s="61"/>
      <c r="GGX2" s="61"/>
      <c r="GGY2" s="61"/>
      <c r="GGZ2" s="61"/>
      <c r="GHA2" s="61"/>
      <c r="GHB2" s="61"/>
      <c r="GHC2" s="61"/>
      <c r="GHD2" s="61"/>
      <c r="GHE2" s="61"/>
      <c r="GHF2" s="61"/>
      <c r="GHG2" s="61"/>
      <c r="GHH2" s="61"/>
      <c r="GHI2" s="61"/>
      <c r="GHJ2" s="61"/>
      <c r="GHK2" s="61"/>
      <c r="GHL2" s="61"/>
      <c r="GHM2" s="61"/>
      <c r="GHN2" s="61"/>
      <c r="GHO2" s="61"/>
      <c r="GHP2" s="61"/>
      <c r="GHQ2" s="61"/>
      <c r="GHR2" s="61"/>
      <c r="GHS2" s="61"/>
      <c r="GHT2" s="61"/>
      <c r="GHU2" s="61"/>
      <c r="GHV2" s="61"/>
      <c r="GHW2" s="61"/>
      <c r="GHX2" s="61"/>
      <c r="GHY2" s="61"/>
      <c r="GHZ2" s="61"/>
      <c r="GIA2" s="61"/>
      <c r="GIB2" s="61"/>
      <c r="GIC2" s="61"/>
      <c r="GID2" s="61"/>
      <c r="GIE2" s="61"/>
      <c r="GIF2" s="61"/>
      <c r="GIG2" s="61"/>
      <c r="GIH2" s="61"/>
      <c r="GII2" s="61"/>
      <c r="GIJ2" s="61"/>
      <c r="GIK2" s="61"/>
      <c r="GIL2" s="61"/>
      <c r="GIM2" s="61"/>
      <c r="GIN2" s="61"/>
      <c r="GIO2" s="61"/>
      <c r="GIP2" s="61"/>
      <c r="GIQ2" s="61"/>
      <c r="GIR2" s="61"/>
      <c r="GIS2" s="61"/>
      <c r="GIT2" s="61"/>
      <c r="GIU2" s="61"/>
      <c r="GIV2" s="61"/>
      <c r="GIW2" s="61"/>
      <c r="GIX2" s="61"/>
      <c r="GIY2" s="61"/>
      <c r="GIZ2" s="61"/>
      <c r="GJA2" s="61"/>
      <c r="GJB2" s="61"/>
      <c r="GJC2" s="61"/>
      <c r="GJD2" s="61"/>
      <c r="GJE2" s="61"/>
      <c r="GJF2" s="61"/>
      <c r="GJG2" s="61"/>
      <c r="GJH2" s="61"/>
      <c r="GJI2" s="61"/>
      <c r="GJJ2" s="61"/>
      <c r="GJK2" s="61"/>
      <c r="GJL2" s="61"/>
      <c r="GJM2" s="61"/>
      <c r="GJN2" s="61"/>
      <c r="GJO2" s="61"/>
      <c r="GJP2" s="61"/>
      <c r="GJQ2" s="61"/>
      <c r="GJR2" s="61"/>
      <c r="GJS2" s="61"/>
      <c r="GJT2" s="61"/>
      <c r="GJU2" s="61"/>
      <c r="GJV2" s="61"/>
      <c r="GJW2" s="61"/>
      <c r="GJX2" s="61"/>
      <c r="GJY2" s="61"/>
      <c r="GJZ2" s="61"/>
      <c r="GKA2" s="61"/>
      <c r="GKB2" s="61"/>
      <c r="GKC2" s="61"/>
      <c r="GKD2" s="61"/>
      <c r="GKE2" s="61"/>
      <c r="GKF2" s="61"/>
      <c r="GKG2" s="61"/>
      <c r="GKH2" s="61"/>
      <c r="GKI2" s="61"/>
      <c r="GKJ2" s="61"/>
      <c r="GKK2" s="61"/>
      <c r="GKL2" s="61"/>
      <c r="GKM2" s="61"/>
      <c r="GKN2" s="61"/>
      <c r="GKO2" s="61"/>
      <c r="GKP2" s="61"/>
      <c r="GKQ2" s="61"/>
      <c r="GKR2" s="61"/>
      <c r="GKS2" s="61"/>
      <c r="GKT2" s="61"/>
      <c r="GKU2" s="61"/>
      <c r="GKV2" s="61"/>
      <c r="GKW2" s="61"/>
      <c r="GKX2" s="61"/>
      <c r="GKY2" s="61"/>
      <c r="GKZ2" s="61"/>
      <c r="GLA2" s="61"/>
      <c r="GLB2" s="61"/>
      <c r="GLC2" s="61"/>
      <c r="GLD2" s="61"/>
      <c r="GLE2" s="61"/>
      <c r="GLF2" s="61"/>
      <c r="GLG2" s="61"/>
      <c r="GLH2" s="61"/>
      <c r="GLI2" s="61"/>
      <c r="GLJ2" s="61"/>
      <c r="GLK2" s="61"/>
      <c r="GLL2" s="61"/>
      <c r="GLM2" s="61"/>
      <c r="GLN2" s="61"/>
      <c r="GLO2" s="61"/>
      <c r="GLP2" s="61"/>
      <c r="GLQ2" s="61"/>
      <c r="GLR2" s="61"/>
      <c r="GLS2" s="61"/>
      <c r="GLT2" s="61"/>
      <c r="GLU2" s="61"/>
      <c r="GLV2" s="61"/>
      <c r="GLW2" s="61"/>
      <c r="GLX2" s="61"/>
      <c r="GLY2" s="61"/>
      <c r="GLZ2" s="61"/>
      <c r="GMA2" s="61"/>
      <c r="GMB2" s="61"/>
      <c r="GMC2" s="61"/>
      <c r="GMD2" s="61"/>
      <c r="GME2" s="61"/>
      <c r="GMF2" s="61"/>
      <c r="GMG2" s="61"/>
      <c r="GMH2" s="61"/>
      <c r="GMI2" s="61"/>
      <c r="GMJ2" s="61"/>
      <c r="GMK2" s="61"/>
      <c r="GML2" s="61"/>
      <c r="GMM2" s="61"/>
      <c r="GMN2" s="61"/>
      <c r="GMO2" s="61"/>
      <c r="GMP2" s="61"/>
      <c r="GMQ2" s="61"/>
      <c r="GMR2" s="61"/>
      <c r="GMS2" s="61"/>
      <c r="GMT2" s="61"/>
      <c r="GMU2" s="61"/>
      <c r="GMV2" s="61"/>
      <c r="GMW2" s="61"/>
      <c r="GMX2" s="61"/>
      <c r="GMY2" s="61"/>
      <c r="GMZ2" s="61"/>
      <c r="GNA2" s="61"/>
      <c r="GNB2" s="61"/>
      <c r="GNC2" s="61"/>
      <c r="GND2" s="61"/>
      <c r="GNE2" s="61"/>
      <c r="GNF2" s="61"/>
      <c r="GNG2" s="61"/>
      <c r="GNH2" s="61"/>
      <c r="GNI2" s="61"/>
      <c r="GNJ2" s="61"/>
      <c r="GNK2" s="61"/>
      <c r="GNL2" s="61"/>
      <c r="GNM2" s="61"/>
      <c r="GNN2" s="61"/>
      <c r="GNO2" s="61"/>
      <c r="GNP2" s="61"/>
      <c r="GNQ2" s="61"/>
      <c r="GNR2" s="61"/>
      <c r="GNS2" s="61"/>
      <c r="GNT2" s="61"/>
      <c r="GNU2" s="61"/>
      <c r="GNV2" s="61"/>
      <c r="GNW2" s="61"/>
      <c r="GNX2" s="61"/>
      <c r="GNY2" s="61"/>
      <c r="GNZ2" s="61"/>
      <c r="GOA2" s="61"/>
      <c r="GOB2" s="61"/>
      <c r="GOC2" s="61"/>
      <c r="GOD2" s="61"/>
      <c r="GOE2" s="61"/>
      <c r="GOF2" s="61"/>
      <c r="GOG2" s="61"/>
      <c r="GOH2" s="61"/>
      <c r="GOI2" s="61"/>
      <c r="GOJ2" s="61"/>
      <c r="GOK2" s="61"/>
      <c r="GOL2" s="61"/>
      <c r="GOM2" s="61"/>
      <c r="GON2" s="61"/>
      <c r="GOO2" s="61"/>
      <c r="GOP2" s="61"/>
      <c r="GOQ2" s="61"/>
      <c r="GOR2" s="61"/>
      <c r="GOS2" s="61"/>
      <c r="GOT2" s="61"/>
      <c r="GOU2" s="61"/>
      <c r="GOV2" s="61"/>
      <c r="GOW2" s="61"/>
      <c r="GOX2" s="61"/>
      <c r="GOY2" s="61"/>
      <c r="GOZ2" s="61"/>
      <c r="GPA2" s="61"/>
      <c r="GPB2" s="61"/>
      <c r="GPC2" s="61"/>
      <c r="GPD2" s="61"/>
      <c r="GPE2" s="61"/>
      <c r="GPF2" s="61"/>
      <c r="GPG2" s="61"/>
      <c r="GPH2" s="61"/>
      <c r="GPI2" s="61"/>
      <c r="GPJ2" s="61"/>
      <c r="GPK2" s="61"/>
      <c r="GPL2" s="61"/>
      <c r="GPM2" s="61"/>
      <c r="GPN2" s="61"/>
      <c r="GPO2" s="61"/>
      <c r="GPP2" s="61"/>
      <c r="GPQ2" s="61"/>
      <c r="GPR2" s="61"/>
      <c r="GPS2" s="61"/>
      <c r="GPT2" s="61"/>
      <c r="GPU2" s="61"/>
      <c r="GPV2" s="61"/>
      <c r="GPW2" s="61"/>
      <c r="GPX2" s="61"/>
      <c r="GPY2" s="61"/>
      <c r="GPZ2" s="61"/>
      <c r="GQA2" s="61"/>
      <c r="GQB2" s="61"/>
      <c r="GQC2" s="61"/>
      <c r="GQD2" s="61"/>
      <c r="GQE2" s="61"/>
      <c r="GQF2" s="61"/>
      <c r="GQG2" s="61"/>
      <c r="GQH2" s="61"/>
      <c r="GQI2" s="61"/>
      <c r="GQJ2" s="61"/>
      <c r="GQK2" s="61"/>
      <c r="GQL2" s="61"/>
      <c r="GQM2" s="61"/>
      <c r="GQN2" s="61"/>
      <c r="GQO2" s="61"/>
      <c r="GQP2" s="61"/>
      <c r="GQQ2" s="61"/>
      <c r="GQR2" s="61"/>
      <c r="GQS2" s="61"/>
      <c r="GQT2" s="61"/>
      <c r="GQU2" s="61"/>
      <c r="GQV2" s="61"/>
      <c r="GQW2" s="61"/>
      <c r="GQX2" s="61"/>
      <c r="GQY2" s="61"/>
      <c r="GQZ2" s="61"/>
      <c r="GRA2" s="61"/>
      <c r="GRB2" s="61"/>
      <c r="GRC2" s="61"/>
      <c r="GRD2" s="61"/>
      <c r="GRE2" s="61"/>
      <c r="GRF2" s="61"/>
      <c r="GRG2" s="61"/>
      <c r="GRH2" s="61"/>
      <c r="GRI2" s="61"/>
      <c r="GRJ2" s="61"/>
      <c r="GRK2" s="61"/>
      <c r="GRL2" s="61"/>
      <c r="GRM2" s="61"/>
      <c r="GRN2" s="61"/>
      <c r="GRO2" s="61"/>
      <c r="GRP2" s="61"/>
      <c r="GRQ2" s="61"/>
      <c r="GRR2" s="61"/>
      <c r="GRS2" s="61"/>
      <c r="GRT2" s="61"/>
      <c r="GRU2" s="61"/>
      <c r="GRV2" s="61"/>
      <c r="GRW2" s="61"/>
      <c r="GRX2" s="61"/>
      <c r="GRY2" s="61"/>
      <c r="GRZ2" s="61"/>
      <c r="GSA2" s="61"/>
      <c r="GSB2" s="61"/>
      <c r="GSC2" s="61"/>
      <c r="GSD2" s="61"/>
      <c r="GSE2" s="61"/>
      <c r="GSF2" s="61"/>
      <c r="GSG2" s="61"/>
      <c r="GSH2" s="61"/>
      <c r="GSI2" s="61"/>
      <c r="GSJ2" s="61"/>
      <c r="GSK2" s="61"/>
      <c r="GSL2" s="61"/>
      <c r="GSM2" s="61"/>
      <c r="GSN2" s="61"/>
      <c r="GSO2" s="61"/>
      <c r="GSP2" s="61"/>
      <c r="GSQ2" s="61"/>
      <c r="GSR2" s="61"/>
      <c r="GSS2" s="61"/>
      <c r="GST2" s="61"/>
      <c r="GSU2" s="61"/>
      <c r="GSV2" s="61"/>
      <c r="GSW2" s="61"/>
      <c r="GSX2" s="61"/>
      <c r="GSY2" s="61"/>
      <c r="GSZ2" s="61"/>
      <c r="GTA2" s="61"/>
      <c r="GTB2" s="61"/>
      <c r="GTC2" s="61"/>
      <c r="GTD2" s="61"/>
      <c r="GTE2" s="61"/>
      <c r="GTF2" s="61"/>
      <c r="GTG2" s="61"/>
      <c r="GTH2" s="61"/>
      <c r="GTI2" s="61"/>
      <c r="GTJ2" s="61"/>
      <c r="GTK2" s="61"/>
      <c r="GTL2" s="61"/>
      <c r="GTM2" s="61"/>
      <c r="GTN2" s="61"/>
      <c r="GTO2" s="61"/>
      <c r="GTP2" s="61"/>
      <c r="GTQ2" s="61"/>
      <c r="GTR2" s="61"/>
      <c r="GTS2" s="61"/>
      <c r="GTT2" s="61"/>
      <c r="GTU2" s="61"/>
      <c r="GTV2" s="61"/>
      <c r="GTW2" s="61"/>
      <c r="GTX2" s="61"/>
      <c r="GTY2" s="61"/>
      <c r="GTZ2" s="61"/>
      <c r="GUA2" s="61"/>
      <c r="GUB2" s="61"/>
      <c r="GUC2" s="61"/>
      <c r="GUD2" s="61"/>
      <c r="GUE2" s="61"/>
      <c r="GUF2" s="61"/>
      <c r="GUG2" s="61"/>
      <c r="GUH2" s="61"/>
      <c r="GUI2" s="61"/>
      <c r="GUJ2" s="61"/>
      <c r="GUK2" s="61"/>
      <c r="GUL2" s="61"/>
      <c r="GUM2" s="61"/>
      <c r="GUN2" s="61"/>
      <c r="GUO2" s="61"/>
      <c r="GUP2" s="61"/>
      <c r="GUQ2" s="61"/>
      <c r="GUR2" s="61"/>
      <c r="GUS2" s="61"/>
      <c r="GUT2" s="61"/>
      <c r="GUU2" s="61"/>
      <c r="GUV2" s="61"/>
      <c r="GUW2" s="61"/>
      <c r="GUX2" s="61"/>
      <c r="GUY2" s="61"/>
      <c r="GUZ2" s="61"/>
      <c r="GVA2" s="61"/>
      <c r="GVB2" s="61"/>
      <c r="GVC2" s="61"/>
      <c r="GVD2" s="61"/>
      <c r="GVE2" s="61"/>
      <c r="GVF2" s="61"/>
      <c r="GVG2" s="61"/>
      <c r="GVH2" s="61"/>
      <c r="GVI2" s="61"/>
      <c r="GVJ2" s="61"/>
      <c r="GVK2" s="61"/>
      <c r="GVL2" s="61"/>
      <c r="GVM2" s="61"/>
      <c r="GVN2" s="61"/>
      <c r="GVO2" s="61"/>
      <c r="GVP2" s="61"/>
      <c r="GVQ2" s="61"/>
      <c r="GVR2" s="61"/>
      <c r="GVS2" s="61"/>
      <c r="GVT2" s="61"/>
      <c r="GVU2" s="61"/>
      <c r="GVV2" s="61"/>
      <c r="GVW2" s="61"/>
      <c r="GVX2" s="61"/>
      <c r="GVY2" s="61"/>
      <c r="GVZ2" s="61"/>
      <c r="GWA2" s="61"/>
      <c r="GWB2" s="61"/>
      <c r="GWC2" s="61"/>
      <c r="GWD2" s="61"/>
      <c r="GWE2" s="61"/>
      <c r="GWF2" s="61"/>
      <c r="GWG2" s="61"/>
      <c r="GWH2" s="61"/>
      <c r="GWI2" s="61"/>
      <c r="GWJ2" s="61"/>
      <c r="GWK2" s="61"/>
      <c r="GWL2" s="61"/>
      <c r="GWM2" s="61"/>
      <c r="GWN2" s="61"/>
      <c r="GWO2" s="61"/>
      <c r="GWP2" s="61"/>
      <c r="GWQ2" s="61"/>
      <c r="GWR2" s="61"/>
      <c r="GWS2" s="61"/>
      <c r="GWT2" s="61"/>
      <c r="GWU2" s="61"/>
      <c r="GWV2" s="61"/>
      <c r="GWW2" s="61"/>
      <c r="GWX2" s="61"/>
      <c r="GWY2" s="61"/>
      <c r="GWZ2" s="61"/>
      <c r="GXA2" s="61"/>
      <c r="GXB2" s="61"/>
      <c r="GXC2" s="61"/>
      <c r="GXD2" s="61"/>
      <c r="GXE2" s="61"/>
      <c r="GXF2" s="61"/>
      <c r="GXG2" s="61"/>
      <c r="GXH2" s="61"/>
      <c r="GXI2" s="61"/>
      <c r="GXJ2" s="61"/>
      <c r="GXK2" s="61"/>
      <c r="GXL2" s="61"/>
      <c r="GXM2" s="61"/>
      <c r="GXN2" s="61"/>
      <c r="GXO2" s="61"/>
      <c r="GXP2" s="61"/>
      <c r="GXQ2" s="61"/>
      <c r="GXR2" s="61"/>
      <c r="GXS2" s="61"/>
      <c r="GXT2" s="61"/>
      <c r="GXU2" s="61"/>
      <c r="GXV2" s="61"/>
      <c r="GXW2" s="61"/>
      <c r="GXX2" s="61"/>
      <c r="GXY2" s="61"/>
      <c r="GXZ2" s="61"/>
      <c r="GYA2" s="61"/>
      <c r="GYB2" s="61"/>
      <c r="GYC2" s="61"/>
      <c r="GYD2" s="61"/>
      <c r="GYE2" s="61"/>
      <c r="GYF2" s="61"/>
      <c r="GYG2" s="61"/>
      <c r="GYH2" s="61"/>
      <c r="GYI2" s="61"/>
      <c r="GYJ2" s="61"/>
      <c r="GYK2" s="61"/>
      <c r="GYL2" s="61"/>
      <c r="GYM2" s="61"/>
      <c r="GYN2" s="61"/>
      <c r="GYO2" s="61"/>
      <c r="GYP2" s="61"/>
      <c r="GYQ2" s="61"/>
      <c r="GYR2" s="61"/>
      <c r="GYS2" s="61"/>
      <c r="GYT2" s="61"/>
      <c r="GYU2" s="61"/>
      <c r="GYV2" s="61"/>
      <c r="GYW2" s="61"/>
      <c r="GYX2" s="61"/>
      <c r="GYY2" s="61"/>
      <c r="GYZ2" s="61"/>
      <c r="GZA2" s="61"/>
      <c r="GZB2" s="61"/>
      <c r="GZC2" s="61"/>
      <c r="GZD2" s="61"/>
      <c r="GZE2" s="61"/>
      <c r="GZF2" s="61"/>
      <c r="GZG2" s="61"/>
      <c r="GZH2" s="61"/>
      <c r="GZI2" s="61"/>
      <c r="GZJ2" s="61"/>
      <c r="GZK2" s="61"/>
      <c r="GZL2" s="61"/>
      <c r="GZM2" s="61"/>
      <c r="GZN2" s="61"/>
      <c r="GZO2" s="61"/>
      <c r="GZP2" s="61"/>
      <c r="GZQ2" s="61"/>
      <c r="GZR2" s="61"/>
      <c r="GZS2" s="61"/>
      <c r="GZT2" s="61"/>
      <c r="GZU2" s="61"/>
      <c r="GZV2" s="61"/>
      <c r="GZW2" s="61"/>
      <c r="GZX2" s="61"/>
      <c r="GZY2" s="61"/>
      <c r="GZZ2" s="61"/>
      <c r="HAA2" s="61"/>
      <c r="HAB2" s="61"/>
      <c r="HAC2" s="61"/>
      <c r="HAD2" s="61"/>
      <c r="HAE2" s="61"/>
      <c r="HAF2" s="61"/>
      <c r="HAG2" s="61"/>
      <c r="HAH2" s="61"/>
      <c r="HAI2" s="61"/>
      <c r="HAJ2" s="61"/>
      <c r="HAK2" s="61"/>
      <c r="HAL2" s="61"/>
      <c r="HAM2" s="61"/>
      <c r="HAN2" s="61"/>
      <c r="HAO2" s="61"/>
      <c r="HAP2" s="61"/>
      <c r="HAQ2" s="61"/>
      <c r="HAR2" s="61"/>
      <c r="HAS2" s="61"/>
      <c r="HAT2" s="61"/>
      <c r="HAU2" s="61"/>
      <c r="HAV2" s="61"/>
      <c r="HAW2" s="61"/>
      <c r="HAX2" s="61"/>
      <c r="HAY2" s="61"/>
      <c r="HAZ2" s="61"/>
      <c r="HBA2" s="61"/>
      <c r="HBB2" s="61"/>
      <c r="HBC2" s="61"/>
      <c r="HBD2" s="61"/>
      <c r="HBE2" s="61"/>
      <c r="HBF2" s="61"/>
      <c r="HBG2" s="61"/>
      <c r="HBH2" s="61"/>
      <c r="HBI2" s="61"/>
      <c r="HBJ2" s="61"/>
      <c r="HBK2" s="61"/>
      <c r="HBL2" s="61"/>
      <c r="HBM2" s="61"/>
      <c r="HBN2" s="61"/>
      <c r="HBO2" s="61"/>
      <c r="HBP2" s="61"/>
      <c r="HBQ2" s="61"/>
      <c r="HBR2" s="61"/>
      <c r="HBS2" s="61"/>
      <c r="HBT2" s="61"/>
      <c r="HBU2" s="61"/>
      <c r="HBV2" s="61"/>
      <c r="HBW2" s="61"/>
      <c r="HBX2" s="61"/>
      <c r="HBY2" s="61"/>
      <c r="HBZ2" s="61"/>
      <c r="HCA2" s="61"/>
      <c r="HCB2" s="61"/>
      <c r="HCC2" s="61"/>
      <c r="HCD2" s="61"/>
      <c r="HCE2" s="61"/>
      <c r="HCF2" s="61"/>
      <c r="HCG2" s="61"/>
      <c r="HCH2" s="61"/>
      <c r="HCI2" s="61"/>
      <c r="HCJ2" s="61"/>
      <c r="HCK2" s="61"/>
      <c r="HCL2" s="61"/>
      <c r="HCM2" s="61"/>
      <c r="HCN2" s="61"/>
      <c r="HCO2" s="61"/>
      <c r="HCP2" s="61"/>
      <c r="HCQ2" s="61"/>
      <c r="HCR2" s="61"/>
      <c r="HCS2" s="61"/>
      <c r="HCT2" s="61"/>
      <c r="HCU2" s="61"/>
      <c r="HCV2" s="61"/>
      <c r="HCW2" s="61"/>
      <c r="HCX2" s="61"/>
      <c r="HCY2" s="61"/>
      <c r="HCZ2" s="61"/>
      <c r="HDA2" s="61"/>
      <c r="HDB2" s="61"/>
      <c r="HDC2" s="61"/>
      <c r="HDD2" s="61"/>
      <c r="HDE2" s="61"/>
      <c r="HDF2" s="61"/>
      <c r="HDG2" s="61"/>
      <c r="HDH2" s="61"/>
      <c r="HDI2" s="61"/>
      <c r="HDJ2" s="61"/>
      <c r="HDK2" s="61"/>
      <c r="HDL2" s="61"/>
      <c r="HDM2" s="61"/>
      <c r="HDN2" s="61"/>
      <c r="HDO2" s="61"/>
      <c r="HDP2" s="61"/>
      <c r="HDQ2" s="61"/>
      <c r="HDR2" s="61"/>
      <c r="HDS2" s="61"/>
      <c r="HDT2" s="61"/>
      <c r="HDU2" s="61"/>
      <c r="HDV2" s="61"/>
      <c r="HDW2" s="61"/>
      <c r="HDX2" s="61"/>
      <c r="HDY2" s="61"/>
      <c r="HDZ2" s="61"/>
      <c r="HEA2" s="61"/>
      <c r="HEB2" s="61"/>
      <c r="HEC2" s="61"/>
      <c r="HED2" s="61"/>
      <c r="HEE2" s="61"/>
      <c r="HEF2" s="61"/>
      <c r="HEG2" s="61"/>
      <c r="HEH2" s="61"/>
      <c r="HEI2" s="61"/>
      <c r="HEJ2" s="61"/>
      <c r="HEK2" s="61"/>
      <c r="HEL2" s="61"/>
      <c r="HEM2" s="61"/>
      <c r="HEN2" s="61"/>
      <c r="HEO2" s="61"/>
      <c r="HEP2" s="61"/>
      <c r="HEQ2" s="61"/>
      <c r="HER2" s="61"/>
      <c r="HES2" s="61"/>
      <c r="HET2" s="61"/>
      <c r="HEU2" s="61"/>
      <c r="HEV2" s="61"/>
      <c r="HEW2" s="61"/>
      <c r="HEX2" s="61"/>
      <c r="HEY2" s="61"/>
      <c r="HEZ2" s="61"/>
      <c r="HFA2" s="61"/>
      <c r="HFB2" s="61"/>
      <c r="HFC2" s="61"/>
      <c r="HFD2" s="61"/>
      <c r="HFE2" s="61"/>
      <c r="HFF2" s="61"/>
      <c r="HFG2" s="61"/>
      <c r="HFH2" s="61"/>
      <c r="HFI2" s="61"/>
      <c r="HFJ2" s="61"/>
      <c r="HFK2" s="61"/>
      <c r="HFL2" s="61"/>
      <c r="HFM2" s="61"/>
      <c r="HFN2" s="61"/>
      <c r="HFO2" s="61"/>
      <c r="HFP2" s="61"/>
      <c r="HFQ2" s="61"/>
      <c r="HFR2" s="61"/>
      <c r="HFS2" s="61"/>
      <c r="HFT2" s="61"/>
      <c r="HFU2" s="61"/>
      <c r="HFV2" s="61"/>
      <c r="HFW2" s="61"/>
      <c r="HFX2" s="61"/>
      <c r="HFY2" s="61"/>
      <c r="HFZ2" s="61"/>
      <c r="HGA2" s="61"/>
      <c r="HGB2" s="61"/>
      <c r="HGC2" s="61"/>
      <c r="HGD2" s="61"/>
      <c r="HGE2" s="61"/>
      <c r="HGF2" s="61"/>
      <c r="HGG2" s="61"/>
      <c r="HGH2" s="61"/>
      <c r="HGI2" s="61"/>
      <c r="HGJ2" s="61"/>
      <c r="HGK2" s="61"/>
      <c r="HGL2" s="61"/>
      <c r="HGM2" s="61"/>
      <c r="HGN2" s="61"/>
      <c r="HGO2" s="61"/>
      <c r="HGP2" s="61"/>
      <c r="HGQ2" s="61"/>
      <c r="HGR2" s="61"/>
      <c r="HGS2" s="61"/>
      <c r="HGT2" s="61"/>
      <c r="HGU2" s="61"/>
      <c r="HGV2" s="61"/>
      <c r="HGW2" s="61"/>
      <c r="HGX2" s="61"/>
      <c r="HGY2" s="61"/>
      <c r="HGZ2" s="61"/>
      <c r="HHA2" s="61"/>
      <c r="HHB2" s="61"/>
      <c r="HHC2" s="61"/>
      <c r="HHD2" s="61"/>
      <c r="HHE2" s="61"/>
      <c r="HHF2" s="61"/>
      <c r="HHG2" s="61"/>
      <c r="HHH2" s="61"/>
      <c r="HHI2" s="61"/>
      <c r="HHJ2" s="61"/>
      <c r="HHK2" s="61"/>
      <c r="HHL2" s="61"/>
      <c r="HHM2" s="61"/>
      <c r="HHN2" s="61"/>
      <c r="HHO2" s="61"/>
      <c r="HHP2" s="61"/>
      <c r="HHQ2" s="61"/>
      <c r="HHR2" s="61"/>
      <c r="HHS2" s="61"/>
      <c r="HHT2" s="61"/>
      <c r="HHU2" s="61"/>
      <c r="HHV2" s="61"/>
      <c r="HHW2" s="61"/>
      <c r="HHX2" s="61"/>
      <c r="HHY2" s="61"/>
      <c r="HHZ2" s="61"/>
      <c r="HIA2" s="61"/>
      <c r="HIB2" s="61"/>
      <c r="HIC2" s="61"/>
      <c r="HID2" s="61"/>
      <c r="HIE2" s="61"/>
      <c r="HIF2" s="61"/>
      <c r="HIG2" s="61"/>
      <c r="HIH2" s="61"/>
      <c r="HII2" s="61"/>
      <c r="HIJ2" s="61"/>
      <c r="HIK2" s="61"/>
      <c r="HIL2" s="61"/>
      <c r="HIM2" s="61"/>
      <c r="HIN2" s="61"/>
      <c r="HIO2" s="61"/>
      <c r="HIP2" s="61"/>
      <c r="HIQ2" s="61"/>
      <c r="HIR2" s="61"/>
      <c r="HIS2" s="61"/>
      <c r="HIT2" s="61"/>
      <c r="HIU2" s="61"/>
      <c r="HIV2" s="61"/>
      <c r="HIW2" s="61"/>
      <c r="HIX2" s="61"/>
      <c r="HIY2" s="61"/>
      <c r="HIZ2" s="61"/>
      <c r="HJA2" s="61"/>
      <c r="HJB2" s="61"/>
      <c r="HJC2" s="61"/>
      <c r="HJD2" s="61"/>
      <c r="HJE2" s="61"/>
      <c r="HJF2" s="61"/>
      <c r="HJG2" s="61"/>
      <c r="HJH2" s="61"/>
      <c r="HJI2" s="61"/>
      <c r="HJJ2" s="61"/>
      <c r="HJK2" s="61"/>
      <c r="HJL2" s="61"/>
      <c r="HJM2" s="61"/>
      <c r="HJN2" s="61"/>
      <c r="HJO2" s="61"/>
      <c r="HJP2" s="61"/>
      <c r="HJQ2" s="61"/>
      <c r="HJR2" s="61"/>
      <c r="HJS2" s="61"/>
      <c r="HJT2" s="61"/>
      <c r="HJU2" s="61"/>
      <c r="HJV2" s="61"/>
      <c r="HJW2" s="61"/>
      <c r="HJX2" s="61"/>
      <c r="HJY2" s="61"/>
      <c r="HJZ2" s="61"/>
      <c r="HKA2" s="61"/>
      <c r="HKB2" s="61"/>
      <c r="HKC2" s="61"/>
      <c r="HKD2" s="61"/>
      <c r="HKE2" s="61"/>
      <c r="HKF2" s="61"/>
      <c r="HKG2" s="61"/>
      <c r="HKH2" s="61"/>
      <c r="HKI2" s="61"/>
      <c r="HKJ2" s="61"/>
      <c r="HKK2" s="61"/>
      <c r="HKL2" s="61"/>
      <c r="HKM2" s="61"/>
      <c r="HKN2" s="61"/>
      <c r="HKO2" s="61"/>
      <c r="HKP2" s="61"/>
      <c r="HKQ2" s="61"/>
      <c r="HKR2" s="61"/>
      <c r="HKS2" s="61"/>
      <c r="HKT2" s="61"/>
      <c r="HKU2" s="61"/>
      <c r="HKV2" s="61"/>
      <c r="HKW2" s="61"/>
      <c r="HKX2" s="61"/>
      <c r="HKY2" s="61"/>
      <c r="HKZ2" s="61"/>
      <c r="HLA2" s="61"/>
      <c r="HLB2" s="61"/>
      <c r="HLC2" s="61"/>
      <c r="HLD2" s="61"/>
      <c r="HLE2" s="61"/>
      <c r="HLF2" s="61"/>
      <c r="HLG2" s="61"/>
      <c r="HLH2" s="61"/>
      <c r="HLI2" s="61"/>
      <c r="HLJ2" s="61"/>
      <c r="HLK2" s="61"/>
      <c r="HLL2" s="61"/>
      <c r="HLM2" s="61"/>
      <c r="HLN2" s="61"/>
      <c r="HLO2" s="61"/>
      <c r="HLP2" s="61"/>
      <c r="HLQ2" s="61"/>
      <c r="HLR2" s="61"/>
      <c r="HLS2" s="61"/>
      <c r="HLT2" s="61"/>
      <c r="HLU2" s="61"/>
      <c r="HLV2" s="61"/>
      <c r="HLW2" s="61"/>
      <c r="HLX2" s="61"/>
      <c r="HLY2" s="61"/>
      <c r="HLZ2" s="61"/>
      <c r="HMA2" s="61"/>
      <c r="HMB2" s="61"/>
      <c r="HMC2" s="61"/>
      <c r="HMD2" s="61"/>
      <c r="HME2" s="61"/>
      <c r="HMF2" s="61"/>
      <c r="HMG2" s="61"/>
      <c r="HMH2" s="61"/>
      <c r="HMI2" s="61"/>
      <c r="HMJ2" s="61"/>
      <c r="HMK2" s="61"/>
      <c r="HML2" s="61"/>
      <c r="HMM2" s="61"/>
      <c r="HMN2" s="61"/>
      <c r="HMO2" s="61"/>
      <c r="HMP2" s="61"/>
      <c r="HMQ2" s="61"/>
      <c r="HMR2" s="61"/>
      <c r="HMS2" s="61"/>
      <c r="HMT2" s="61"/>
      <c r="HMU2" s="61"/>
      <c r="HMV2" s="61"/>
      <c r="HMW2" s="61"/>
      <c r="HMX2" s="61"/>
      <c r="HMY2" s="61"/>
      <c r="HMZ2" s="61"/>
      <c r="HNA2" s="61"/>
      <c r="HNB2" s="61"/>
      <c r="HNC2" s="61"/>
      <c r="HND2" s="61"/>
      <c r="HNE2" s="61"/>
      <c r="HNF2" s="61"/>
      <c r="HNG2" s="61"/>
      <c r="HNH2" s="61"/>
      <c r="HNI2" s="61"/>
      <c r="HNJ2" s="61"/>
      <c r="HNK2" s="61"/>
      <c r="HNL2" s="61"/>
      <c r="HNM2" s="61"/>
      <c r="HNN2" s="61"/>
      <c r="HNO2" s="61"/>
      <c r="HNP2" s="61"/>
      <c r="HNQ2" s="61"/>
      <c r="HNR2" s="61"/>
      <c r="HNS2" s="61"/>
      <c r="HNT2" s="61"/>
      <c r="HNU2" s="61"/>
      <c r="HNV2" s="61"/>
      <c r="HNW2" s="61"/>
      <c r="HNX2" s="61"/>
      <c r="HNY2" s="61"/>
      <c r="HNZ2" s="61"/>
      <c r="HOA2" s="61"/>
      <c r="HOB2" s="61"/>
      <c r="HOC2" s="61"/>
      <c r="HOD2" s="61"/>
      <c r="HOE2" s="61"/>
      <c r="HOF2" s="61"/>
      <c r="HOG2" s="61"/>
      <c r="HOH2" s="61"/>
      <c r="HOI2" s="61"/>
      <c r="HOJ2" s="61"/>
      <c r="HOK2" s="61"/>
      <c r="HOL2" s="61"/>
      <c r="HOM2" s="61"/>
      <c r="HON2" s="61"/>
      <c r="HOO2" s="61"/>
      <c r="HOP2" s="61"/>
      <c r="HOQ2" s="61"/>
      <c r="HOR2" s="61"/>
      <c r="HOS2" s="61"/>
      <c r="HOT2" s="61"/>
      <c r="HOU2" s="61"/>
      <c r="HOV2" s="61"/>
      <c r="HOW2" s="61"/>
      <c r="HOX2" s="61"/>
      <c r="HOY2" s="61"/>
      <c r="HOZ2" s="61"/>
      <c r="HPA2" s="61"/>
      <c r="HPB2" s="61"/>
      <c r="HPC2" s="61"/>
      <c r="HPD2" s="61"/>
      <c r="HPE2" s="61"/>
      <c r="HPF2" s="61"/>
      <c r="HPG2" s="61"/>
      <c r="HPH2" s="61"/>
      <c r="HPI2" s="61"/>
      <c r="HPJ2" s="61"/>
      <c r="HPK2" s="61"/>
      <c r="HPL2" s="61"/>
      <c r="HPM2" s="61"/>
      <c r="HPN2" s="61"/>
      <c r="HPO2" s="61"/>
      <c r="HPP2" s="61"/>
      <c r="HPQ2" s="61"/>
      <c r="HPR2" s="61"/>
      <c r="HPS2" s="61"/>
      <c r="HPT2" s="61"/>
      <c r="HPU2" s="61"/>
      <c r="HPV2" s="61"/>
      <c r="HPW2" s="61"/>
      <c r="HPX2" s="61"/>
      <c r="HPY2" s="61"/>
      <c r="HPZ2" s="61"/>
      <c r="HQA2" s="61"/>
      <c r="HQB2" s="61"/>
      <c r="HQC2" s="61"/>
      <c r="HQD2" s="61"/>
      <c r="HQE2" s="61"/>
      <c r="HQF2" s="61"/>
      <c r="HQG2" s="61"/>
      <c r="HQH2" s="61"/>
      <c r="HQI2" s="61"/>
      <c r="HQJ2" s="61"/>
      <c r="HQK2" s="61"/>
      <c r="HQL2" s="61"/>
      <c r="HQM2" s="61"/>
      <c r="HQN2" s="61"/>
      <c r="HQO2" s="61"/>
      <c r="HQP2" s="61"/>
      <c r="HQQ2" s="61"/>
      <c r="HQR2" s="61"/>
      <c r="HQS2" s="61"/>
      <c r="HQT2" s="61"/>
      <c r="HQU2" s="61"/>
      <c r="HQV2" s="61"/>
      <c r="HQW2" s="61"/>
      <c r="HQX2" s="61"/>
      <c r="HQY2" s="61"/>
      <c r="HQZ2" s="61"/>
      <c r="HRA2" s="61"/>
      <c r="HRB2" s="61"/>
      <c r="HRC2" s="61"/>
      <c r="HRD2" s="61"/>
      <c r="HRE2" s="61"/>
      <c r="HRF2" s="61"/>
      <c r="HRG2" s="61"/>
      <c r="HRH2" s="61"/>
      <c r="HRI2" s="61"/>
      <c r="HRJ2" s="61"/>
      <c r="HRK2" s="61"/>
      <c r="HRL2" s="61"/>
      <c r="HRM2" s="61"/>
      <c r="HRN2" s="61"/>
      <c r="HRO2" s="61"/>
      <c r="HRP2" s="61"/>
      <c r="HRQ2" s="61"/>
      <c r="HRR2" s="61"/>
      <c r="HRS2" s="61"/>
      <c r="HRT2" s="61"/>
      <c r="HRU2" s="61"/>
      <c r="HRV2" s="61"/>
      <c r="HRW2" s="61"/>
      <c r="HRX2" s="61"/>
      <c r="HRY2" s="61"/>
      <c r="HRZ2" s="61"/>
      <c r="HSA2" s="61"/>
      <c r="HSB2" s="61"/>
      <c r="HSC2" s="61"/>
      <c r="HSD2" s="61"/>
      <c r="HSE2" s="61"/>
      <c r="HSF2" s="61"/>
      <c r="HSG2" s="61"/>
      <c r="HSH2" s="61"/>
      <c r="HSI2" s="61"/>
      <c r="HSJ2" s="61"/>
      <c r="HSK2" s="61"/>
      <c r="HSL2" s="61"/>
      <c r="HSM2" s="61"/>
      <c r="HSN2" s="61"/>
      <c r="HSO2" s="61"/>
      <c r="HSP2" s="61"/>
      <c r="HSQ2" s="61"/>
      <c r="HSR2" s="61"/>
      <c r="HSS2" s="61"/>
      <c r="HST2" s="61"/>
      <c r="HSU2" s="61"/>
      <c r="HSV2" s="61"/>
      <c r="HSW2" s="61"/>
      <c r="HSX2" s="61"/>
      <c r="HSY2" s="61"/>
      <c r="HSZ2" s="61"/>
      <c r="HTA2" s="61"/>
      <c r="HTB2" s="61"/>
      <c r="HTC2" s="61"/>
      <c r="HTD2" s="61"/>
      <c r="HTE2" s="61"/>
      <c r="HTF2" s="61"/>
      <c r="HTG2" s="61"/>
      <c r="HTH2" s="61"/>
      <c r="HTI2" s="61"/>
      <c r="HTJ2" s="61"/>
      <c r="HTK2" s="61"/>
      <c r="HTL2" s="61"/>
      <c r="HTM2" s="61"/>
      <c r="HTN2" s="61"/>
      <c r="HTO2" s="61"/>
      <c r="HTP2" s="61"/>
      <c r="HTQ2" s="61"/>
      <c r="HTR2" s="61"/>
      <c r="HTS2" s="61"/>
      <c r="HTT2" s="61"/>
      <c r="HTU2" s="61"/>
      <c r="HTV2" s="61"/>
      <c r="HTW2" s="61"/>
      <c r="HTX2" s="61"/>
      <c r="HTY2" s="61"/>
      <c r="HTZ2" s="61"/>
      <c r="HUA2" s="61"/>
      <c r="HUB2" s="61"/>
      <c r="HUC2" s="61"/>
      <c r="HUD2" s="61"/>
      <c r="HUE2" s="61"/>
      <c r="HUF2" s="61"/>
      <c r="HUG2" s="61"/>
      <c r="HUH2" s="61"/>
      <c r="HUI2" s="61"/>
      <c r="HUJ2" s="61"/>
      <c r="HUK2" s="61"/>
      <c r="HUL2" s="61"/>
      <c r="HUM2" s="61"/>
      <c r="HUN2" s="61"/>
      <c r="HUO2" s="61"/>
      <c r="HUP2" s="61"/>
      <c r="HUQ2" s="61"/>
      <c r="HUR2" s="61"/>
      <c r="HUS2" s="61"/>
      <c r="HUT2" s="61"/>
      <c r="HUU2" s="61"/>
      <c r="HUV2" s="61"/>
      <c r="HUW2" s="61"/>
      <c r="HUX2" s="61"/>
      <c r="HUY2" s="61"/>
      <c r="HUZ2" s="61"/>
      <c r="HVA2" s="61"/>
      <c r="HVB2" s="61"/>
      <c r="HVC2" s="61"/>
      <c r="HVD2" s="61"/>
      <c r="HVE2" s="61"/>
      <c r="HVF2" s="61"/>
      <c r="HVG2" s="61"/>
      <c r="HVH2" s="61"/>
      <c r="HVI2" s="61"/>
      <c r="HVJ2" s="61"/>
      <c r="HVK2" s="61"/>
      <c r="HVL2" s="61"/>
      <c r="HVM2" s="61"/>
      <c r="HVN2" s="61"/>
      <c r="HVO2" s="61"/>
      <c r="HVP2" s="61"/>
      <c r="HVQ2" s="61"/>
      <c r="HVR2" s="61"/>
      <c r="HVS2" s="61"/>
      <c r="HVT2" s="61"/>
      <c r="HVU2" s="61"/>
      <c r="HVV2" s="61"/>
      <c r="HVW2" s="61"/>
      <c r="HVX2" s="61"/>
      <c r="HVY2" s="61"/>
      <c r="HVZ2" s="61"/>
      <c r="HWA2" s="61"/>
      <c r="HWB2" s="61"/>
      <c r="HWC2" s="61"/>
      <c r="HWD2" s="61"/>
      <c r="HWE2" s="61"/>
      <c r="HWF2" s="61"/>
      <c r="HWG2" s="61"/>
      <c r="HWH2" s="61"/>
      <c r="HWI2" s="61"/>
      <c r="HWJ2" s="61"/>
      <c r="HWK2" s="61"/>
      <c r="HWL2" s="61"/>
      <c r="HWM2" s="61"/>
      <c r="HWN2" s="61"/>
      <c r="HWO2" s="61"/>
      <c r="HWP2" s="61"/>
      <c r="HWQ2" s="61"/>
      <c r="HWR2" s="61"/>
      <c r="HWS2" s="61"/>
      <c r="HWT2" s="61"/>
      <c r="HWU2" s="61"/>
      <c r="HWV2" s="61"/>
      <c r="HWW2" s="61"/>
      <c r="HWX2" s="61"/>
      <c r="HWY2" s="61"/>
      <c r="HWZ2" s="61"/>
      <c r="HXA2" s="61"/>
      <c r="HXB2" s="61"/>
      <c r="HXC2" s="61"/>
      <c r="HXD2" s="61"/>
      <c r="HXE2" s="61"/>
      <c r="HXF2" s="61"/>
      <c r="HXG2" s="61"/>
      <c r="HXH2" s="61"/>
      <c r="HXI2" s="61"/>
      <c r="HXJ2" s="61"/>
      <c r="HXK2" s="61"/>
      <c r="HXL2" s="61"/>
      <c r="HXM2" s="61"/>
      <c r="HXN2" s="61"/>
      <c r="HXO2" s="61"/>
      <c r="HXP2" s="61"/>
      <c r="HXQ2" s="61"/>
      <c r="HXR2" s="61"/>
      <c r="HXS2" s="61"/>
      <c r="HXT2" s="61"/>
      <c r="HXU2" s="61"/>
      <c r="HXV2" s="61"/>
      <c r="HXW2" s="61"/>
      <c r="HXX2" s="61"/>
      <c r="HXY2" s="61"/>
      <c r="HXZ2" s="61"/>
      <c r="HYA2" s="61"/>
      <c r="HYB2" s="61"/>
      <c r="HYC2" s="61"/>
      <c r="HYD2" s="61"/>
      <c r="HYE2" s="61"/>
      <c r="HYF2" s="61"/>
      <c r="HYG2" s="61"/>
      <c r="HYH2" s="61"/>
      <c r="HYI2" s="61"/>
      <c r="HYJ2" s="61"/>
      <c r="HYK2" s="61"/>
      <c r="HYL2" s="61"/>
      <c r="HYM2" s="61"/>
      <c r="HYN2" s="61"/>
      <c r="HYO2" s="61"/>
      <c r="HYP2" s="61"/>
      <c r="HYQ2" s="61"/>
      <c r="HYR2" s="61"/>
      <c r="HYS2" s="61"/>
      <c r="HYT2" s="61"/>
      <c r="HYU2" s="61"/>
      <c r="HYV2" s="61"/>
      <c r="HYW2" s="61"/>
      <c r="HYX2" s="61"/>
      <c r="HYY2" s="61"/>
      <c r="HYZ2" s="61"/>
      <c r="HZA2" s="61"/>
      <c r="HZB2" s="61"/>
      <c r="HZC2" s="61"/>
      <c r="HZD2" s="61"/>
      <c r="HZE2" s="61"/>
      <c r="HZF2" s="61"/>
      <c r="HZG2" s="61"/>
      <c r="HZH2" s="61"/>
      <c r="HZI2" s="61"/>
      <c r="HZJ2" s="61"/>
      <c r="HZK2" s="61"/>
      <c r="HZL2" s="61"/>
      <c r="HZM2" s="61"/>
      <c r="HZN2" s="61"/>
      <c r="HZO2" s="61"/>
      <c r="HZP2" s="61"/>
      <c r="HZQ2" s="61"/>
      <c r="HZR2" s="61"/>
      <c r="HZS2" s="61"/>
      <c r="HZT2" s="61"/>
      <c r="HZU2" s="61"/>
      <c r="HZV2" s="61"/>
      <c r="HZW2" s="61"/>
      <c r="HZX2" s="61"/>
      <c r="HZY2" s="61"/>
      <c r="HZZ2" s="61"/>
      <c r="IAA2" s="61"/>
      <c r="IAB2" s="61"/>
      <c r="IAC2" s="61"/>
      <c r="IAD2" s="61"/>
      <c r="IAE2" s="61"/>
      <c r="IAF2" s="61"/>
      <c r="IAG2" s="61"/>
      <c r="IAH2" s="61"/>
      <c r="IAI2" s="61"/>
      <c r="IAJ2" s="61"/>
      <c r="IAK2" s="61"/>
      <c r="IAL2" s="61"/>
      <c r="IAM2" s="61"/>
      <c r="IAN2" s="61"/>
      <c r="IAO2" s="61"/>
      <c r="IAP2" s="61"/>
      <c r="IAQ2" s="61"/>
      <c r="IAR2" s="61"/>
      <c r="IAS2" s="61"/>
      <c r="IAT2" s="61"/>
      <c r="IAU2" s="61"/>
      <c r="IAV2" s="61"/>
      <c r="IAW2" s="61"/>
      <c r="IAX2" s="61"/>
      <c r="IAY2" s="61"/>
      <c r="IAZ2" s="61"/>
      <c r="IBA2" s="61"/>
      <c r="IBB2" s="61"/>
      <c r="IBC2" s="61"/>
      <c r="IBD2" s="61"/>
      <c r="IBE2" s="61"/>
      <c r="IBF2" s="61"/>
      <c r="IBG2" s="61"/>
      <c r="IBH2" s="61"/>
      <c r="IBI2" s="61"/>
      <c r="IBJ2" s="61"/>
      <c r="IBK2" s="61"/>
      <c r="IBL2" s="61"/>
      <c r="IBM2" s="61"/>
      <c r="IBN2" s="61"/>
      <c r="IBO2" s="61"/>
      <c r="IBP2" s="61"/>
      <c r="IBQ2" s="61"/>
      <c r="IBR2" s="61"/>
      <c r="IBS2" s="61"/>
      <c r="IBT2" s="61"/>
      <c r="IBU2" s="61"/>
      <c r="IBV2" s="61"/>
      <c r="IBW2" s="61"/>
      <c r="IBX2" s="61"/>
      <c r="IBY2" s="61"/>
      <c r="IBZ2" s="61"/>
      <c r="ICA2" s="61"/>
      <c r="ICB2" s="61"/>
      <c r="ICC2" s="61"/>
      <c r="ICD2" s="61"/>
      <c r="ICE2" s="61"/>
      <c r="ICF2" s="61"/>
      <c r="ICG2" s="61"/>
      <c r="ICH2" s="61"/>
      <c r="ICI2" s="61"/>
      <c r="ICJ2" s="61"/>
      <c r="ICK2" s="61"/>
      <c r="ICL2" s="61"/>
      <c r="ICM2" s="61"/>
      <c r="ICN2" s="61"/>
      <c r="ICO2" s="61"/>
      <c r="ICP2" s="61"/>
      <c r="ICQ2" s="61"/>
      <c r="ICR2" s="61"/>
      <c r="ICS2" s="61"/>
      <c r="ICT2" s="61"/>
      <c r="ICU2" s="61"/>
      <c r="ICV2" s="61"/>
      <c r="ICW2" s="61"/>
      <c r="ICX2" s="61"/>
      <c r="ICY2" s="61"/>
      <c r="ICZ2" s="61"/>
      <c r="IDA2" s="61"/>
      <c r="IDB2" s="61"/>
      <c r="IDC2" s="61"/>
      <c r="IDD2" s="61"/>
      <c r="IDE2" s="61"/>
      <c r="IDF2" s="61"/>
      <c r="IDG2" s="61"/>
      <c r="IDH2" s="61"/>
      <c r="IDI2" s="61"/>
      <c r="IDJ2" s="61"/>
      <c r="IDK2" s="61"/>
      <c r="IDL2" s="61"/>
      <c r="IDM2" s="61"/>
      <c r="IDN2" s="61"/>
      <c r="IDO2" s="61"/>
      <c r="IDP2" s="61"/>
      <c r="IDQ2" s="61"/>
      <c r="IDR2" s="61"/>
      <c r="IDS2" s="61"/>
      <c r="IDT2" s="61"/>
      <c r="IDU2" s="61"/>
      <c r="IDV2" s="61"/>
      <c r="IDW2" s="61"/>
      <c r="IDX2" s="61"/>
      <c r="IDY2" s="61"/>
      <c r="IDZ2" s="61"/>
      <c r="IEA2" s="61"/>
      <c r="IEB2" s="61"/>
      <c r="IEC2" s="61"/>
      <c r="IED2" s="61"/>
      <c r="IEE2" s="61"/>
      <c r="IEF2" s="61"/>
      <c r="IEG2" s="61"/>
      <c r="IEH2" s="61"/>
      <c r="IEI2" s="61"/>
      <c r="IEJ2" s="61"/>
      <c r="IEK2" s="61"/>
      <c r="IEL2" s="61"/>
      <c r="IEM2" s="61"/>
      <c r="IEN2" s="61"/>
      <c r="IEO2" s="61"/>
      <c r="IEP2" s="61"/>
      <c r="IEQ2" s="61"/>
      <c r="IER2" s="61"/>
      <c r="IES2" s="61"/>
      <c r="IET2" s="61"/>
      <c r="IEU2" s="61"/>
      <c r="IEV2" s="61"/>
      <c r="IEW2" s="61"/>
      <c r="IEX2" s="61"/>
      <c r="IEY2" s="61"/>
      <c r="IEZ2" s="61"/>
      <c r="IFA2" s="61"/>
      <c r="IFB2" s="61"/>
      <c r="IFC2" s="61"/>
      <c r="IFD2" s="61"/>
      <c r="IFE2" s="61"/>
      <c r="IFF2" s="61"/>
      <c r="IFG2" s="61"/>
      <c r="IFH2" s="61"/>
      <c r="IFI2" s="61"/>
      <c r="IFJ2" s="61"/>
      <c r="IFK2" s="61"/>
      <c r="IFL2" s="61"/>
      <c r="IFM2" s="61"/>
      <c r="IFN2" s="61"/>
      <c r="IFO2" s="61"/>
      <c r="IFP2" s="61"/>
      <c r="IFQ2" s="61"/>
      <c r="IFR2" s="61"/>
      <c r="IFS2" s="61"/>
      <c r="IFT2" s="61"/>
      <c r="IFU2" s="61"/>
      <c r="IFV2" s="61"/>
      <c r="IFW2" s="61"/>
      <c r="IFX2" s="61"/>
      <c r="IFY2" s="61"/>
      <c r="IFZ2" s="61"/>
      <c r="IGA2" s="61"/>
      <c r="IGB2" s="61"/>
      <c r="IGC2" s="61"/>
      <c r="IGD2" s="61"/>
      <c r="IGE2" s="61"/>
      <c r="IGF2" s="61"/>
      <c r="IGG2" s="61"/>
      <c r="IGH2" s="61"/>
      <c r="IGI2" s="61"/>
      <c r="IGJ2" s="61"/>
      <c r="IGK2" s="61"/>
      <c r="IGL2" s="61"/>
      <c r="IGM2" s="61"/>
      <c r="IGN2" s="61"/>
      <c r="IGO2" s="61"/>
      <c r="IGP2" s="61"/>
      <c r="IGQ2" s="61"/>
      <c r="IGR2" s="61"/>
      <c r="IGS2" s="61"/>
      <c r="IGT2" s="61"/>
      <c r="IGU2" s="61"/>
      <c r="IGV2" s="61"/>
      <c r="IGW2" s="61"/>
      <c r="IGX2" s="61"/>
      <c r="IGY2" s="61"/>
      <c r="IGZ2" s="61"/>
      <c r="IHA2" s="61"/>
      <c r="IHB2" s="61"/>
      <c r="IHC2" s="61"/>
      <c r="IHD2" s="61"/>
      <c r="IHE2" s="61"/>
      <c r="IHF2" s="61"/>
      <c r="IHG2" s="61"/>
      <c r="IHH2" s="61"/>
      <c r="IHI2" s="61"/>
      <c r="IHJ2" s="61"/>
      <c r="IHK2" s="61"/>
      <c r="IHL2" s="61"/>
      <c r="IHM2" s="61"/>
      <c r="IHN2" s="61"/>
      <c r="IHO2" s="61"/>
      <c r="IHP2" s="61"/>
      <c r="IHQ2" s="61"/>
      <c r="IHR2" s="61"/>
      <c r="IHS2" s="61"/>
      <c r="IHT2" s="61"/>
      <c r="IHU2" s="61"/>
      <c r="IHV2" s="61"/>
      <c r="IHW2" s="61"/>
      <c r="IHX2" s="61"/>
      <c r="IHY2" s="61"/>
      <c r="IHZ2" s="61"/>
      <c r="IIA2" s="61"/>
      <c r="IIB2" s="61"/>
      <c r="IIC2" s="61"/>
      <c r="IID2" s="61"/>
      <c r="IIE2" s="61"/>
      <c r="IIF2" s="61"/>
      <c r="IIG2" s="61"/>
      <c r="IIH2" s="61"/>
      <c r="III2" s="61"/>
      <c r="IIJ2" s="61"/>
      <c r="IIK2" s="61"/>
      <c r="IIL2" s="61"/>
      <c r="IIM2" s="61"/>
      <c r="IIN2" s="61"/>
      <c r="IIO2" s="61"/>
      <c r="IIP2" s="61"/>
      <c r="IIQ2" s="61"/>
      <c r="IIR2" s="61"/>
      <c r="IIS2" s="61"/>
      <c r="IIT2" s="61"/>
      <c r="IIU2" s="61"/>
      <c r="IIV2" s="61"/>
      <c r="IIW2" s="61"/>
      <c r="IIX2" s="61"/>
      <c r="IIY2" s="61"/>
      <c r="IIZ2" s="61"/>
      <c r="IJA2" s="61"/>
      <c r="IJB2" s="61"/>
      <c r="IJC2" s="61"/>
      <c r="IJD2" s="61"/>
      <c r="IJE2" s="61"/>
      <c r="IJF2" s="61"/>
      <c r="IJG2" s="61"/>
      <c r="IJH2" s="61"/>
      <c r="IJI2" s="61"/>
      <c r="IJJ2" s="61"/>
      <c r="IJK2" s="61"/>
      <c r="IJL2" s="61"/>
      <c r="IJM2" s="61"/>
      <c r="IJN2" s="61"/>
      <c r="IJO2" s="61"/>
      <c r="IJP2" s="61"/>
      <c r="IJQ2" s="61"/>
      <c r="IJR2" s="61"/>
      <c r="IJS2" s="61"/>
      <c r="IJT2" s="61"/>
      <c r="IJU2" s="61"/>
      <c r="IJV2" s="61"/>
      <c r="IJW2" s="61"/>
      <c r="IJX2" s="61"/>
      <c r="IJY2" s="61"/>
      <c r="IJZ2" s="61"/>
      <c r="IKA2" s="61"/>
      <c r="IKB2" s="61"/>
      <c r="IKC2" s="61"/>
      <c r="IKD2" s="61"/>
      <c r="IKE2" s="61"/>
      <c r="IKF2" s="61"/>
      <c r="IKG2" s="61"/>
      <c r="IKH2" s="61"/>
      <c r="IKI2" s="61"/>
      <c r="IKJ2" s="61"/>
      <c r="IKK2" s="61"/>
      <c r="IKL2" s="61"/>
      <c r="IKM2" s="61"/>
      <c r="IKN2" s="61"/>
      <c r="IKO2" s="61"/>
      <c r="IKP2" s="61"/>
      <c r="IKQ2" s="61"/>
      <c r="IKR2" s="61"/>
      <c r="IKS2" s="61"/>
      <c r="IKT2" s="61"/>
      <c r="IKU2" s="61"/>
      <c r="IKV2" s="61"/>
      <c r="IKW2" s="61"/>
      <c r="IKX2" s="61"/>
      <c r="IKY2" s="61"/>
      <c r="IKZ2" s="61"/>
      <c r="ILA2" s="61"/>
      <c r="ILB2" s="61"/>
      <c r="ILC2" s="61"/>
      <c r="ILD2" s="61"/>
      <c r="ILE2" s="61"/>
      <c r="ILF2" s="61"/>
      <c r="ILG2" s="61"/>
      <c r="ILH2" s="61"/>
      <c r="ILI2" s="61"/>
      <c r="ILJ2" s="61"/>
      <c r="ILK2" s="61"/>
      <c r="ILL2" s="61"/>
      <c r="ILM2" s="61"/>
      <c r="ILN2" s="61"/>
      <c r="ILO2" s="61"/>
      <c r="ILP2" s="61"/>
      <c r="ILQ2" s="61"/>
      <c r="ILR2" s="61"/>
      <c r="ILS2" s="61"/>
      <c r="ILT2" s="61"/>
      <c r="ILU2" s="61"/>
      <c r="ILV2" s="61"/>
      <c r="ILW2" s="61"/>
      <c r="ILX2" s="61"/>
      <c r="ILY2" s="61"/>
      <c r="ILZ2" s="61"/>
      <c r="IMA2" s="61"/>
      <c r="IMB2" s="61"/>
      <c r="IMC2" s="61"/>
      <c r="IMD2" s="61"/>
      <c r="IME2" s="61"/>
      <c r="IMF2" s="61"/>
      <c r="IMG2" s="61"/>
      <c r="IMH2" s="61"/>
      <c r="IMI2" s="61"/>
      <c r="IMJ2" s="61"/>
      <c r="IMK2" s="61"/>
      <c r="IML2" s="61"/>
      <c r="IMM2" s="61"/>
      <c r="IMN2" s="61"/>
      <c r="IMO2" s="61"/>
      <c r="IMP2" s="61"/>
      <c r="IMQ2" s="61"/>
      <c r="IMR2" s="61"/>
      <c r="IMS2" s="61"/>
      <c r="IMT2" s="61"/>
      <c r="IMU2" s="61"/>
      <c r="IMV2" s="61"/>
      <c r="IMW2" s="61"/>
      <c r="IMX2" s="61"/>
      <c r="IMY2" s="61"/>
      <c r="IMZ2" s="61"/>
      <c r="INA2" s="61"/>
      <c r="INB2" s="61"/>
      <c r="INC2" s="61"/>
      <c r="IND2" s="61"/>
      <c r="INE2" s="61"/>
      <c r="INF2" s="61"/>
      <c r="ING2" s="61"/>
      <c r="INH2" s="61"/>
      <c r="INI2" s="61"/>
      <c r="INJ2" s="61"/>
      <c r="INK2" s="61"/>
      <c r="INL2" s="61"/>
      <c r="INM2" s="61"/>
      <c r="INN2" s="61"/>
      <c r="INO2" s="61"/>
      <c r="INP2" s="61"/>
      <c r="INQ2" s="61"/>
      <c r="INR2" s="61"/>
      <c r="INS2" s="61"/>
      <c r="INT2" s="61"/>
      <c r="INU2" s="61"/>
      <c r="INV2" s="61"/>
      <c r="INW2" s="61"/>
      <c r="INX2" s="61"/>
      <c r="INY2" s="61"/>
      <c r="INZ2" s="61"/>
      <c r="IOA2" s="61"/>
      <c r="IOB2" s="61"/>
      <c r="IOC2" s="61"/>
      <c r="IOD2" s="61"/>
      <c r="IOE2" s="61"/>
      <c r="IOF2" s="61"/>
      <c r="IOG2" s="61"/>
      <c r="IOH2" s="61"/>
      <c r="IOI2" s="61"/>
      <c r="IOJ2" s="61"/>
      <c r="IOK2" s="61"/>
      <c r="IOL2" s="61"/>
      <c r="IOM2" s="61"/>
      <c r="ION2" s="61"/>
      <c r="IOO2" s="61"/>
      <c r="IOP2" s="61"/>
      <c r="IOQ2" s="61"/>
      <c r="IOR2" s="61"/>
      <c r="IOS2" s="61"/>
      <c r="IOT2" s="61"/>
      <c r="IOU2" s="61"/>
      <c r="IOV2" s="61"/>
      <c r="IOW2" s="61"/>
      <c r="IOX2" s="61"/>
      <c r="IOY2" s="61"/>
      <c r="IOZ2" s="61"/>
      <c r="IPA2" s="61"/>
      <c r="IPB2" s="61"/>
      <c r="IPC2" s="61"/>
      <c r="IPD2" s="61"/>
      <c r="IPE2" s="61"/>
      <c r="IPF2" s="61"/>
      <c r="IPG2" s="61"/>
      <c r="IPH2" s="61"/>
      <c r="IPI2" s="61"/>
      <c r="IPJ2" s="61"/>
      <c r="IPK2" s="61"/>
      <c r="IPL2" s="61"/>
      <c r="IPM2" s="61"/>
      <c r="IPN2" s="61"/>
      <c r="IPO2" s="61"/>
      <c r="IPP2" s="61"/>
      <c r="IPQ2" s="61"/>
      <c r="IPR2" s="61"/>
      <c r="IPS2" s="61"/>
      <c r="IPT2" s="61"/>
      <c r="IPU2" s="61"/>
      <c r="IPV2" s="61"/>
      <c r="IPW2" s="61"/>
      <c r="IPX2" s="61"/>
      <c r="IPY2" s="61"/>
      <c r="IPZ2" s="61"/>
      <c r="IQA2" s="61"/>
      <c r="IQB2" s="61"/>
      <c r="IQC2" s="61"/>
      <c r="IQD2" s="61"/>
      <c r="IQE2" s="61"/>
      <c r="IQF2" s="61"/>
      <c r="IQG2" s="61"/>
      <c r="IQH2" s="61"/>
      <c r="IQI2" s="61"/>
      <c r="IQJ2" s="61"/>
      <c r="IQK2" s="61"/>
      <c r="IQL2" s="61"/>
      <c r="IQM2" s="61"/>
      <c r="IQN2" s="61"/>
      <c r="IQO2" s="61"/>
      <c r="IQP2" s="61"/>
      <c r="IQQ2" s="61"/>
      <c r="IQR2" s="61"/>
      <c r="IQS2" s="61"/>
      <c r="IQT2" s="61"/>
      <c r="IQU2" s="61"/>
      <c r="IQV2" s="61"/>
      <c r="IQW2" s="61"/>
      <c r="IQX2" s="61"/>
      <c r="IQY2" s="61"/>
      <c r="IQZ2" s="61"/>
      <c r="IRA2" s="61"/>
      <c r="IRB2" s="61"/>
      <c r="IRC2" s="61"/>
      <c r="IRD2" s="61"/>
      <c r="IRE2" s="61"/>
      <c r="IRF2" s="61"/>
      <c r="IRG2" s="61"/>
      <c r="IRH2" s="61"/>
      <c r="IRI2" s="61"/>
      <c r="IRJ2" s="61"/>
      <c r="IRK2" s="61"/>
      <c r="IRL2" s="61"/>
      <c r="IRM2" s="61"/>
      <c r="IRN2" s="61"/>
      <c r="IRO2" s="61"/>
      <c r="IRP2" s="61"/>
      <c r="IRQ2" s="61"/>
      <c r="IRR2" s="61"/>
      <c r="IRS2" s="61"/>
      <c r="IRT2" s="61"/>
      <c r="IRU2" s="61"/>
      <c r="IRV2" s="61"/>
      <c r="IRW2" s="61"/>
      <c r="IRX2" s="61"/>
      <c r="IRY2" s="61"/>
      <c r="IRZ2" s="61"/>
      <c r="ISA2" s="61"/>
      <c r="ISB2" s="61"/>
      <c r="ISC2" s="61"/>
      <c r="ISD2" s="61"/>
      <c r="ISE2" s="61"/>
      <c r="ISF2" s="61"/>
      <c r="ISG2" s="61"/>
      <c r="ISH2" s="61"/>
      <c r="ISI2" s="61"/>
      <c r="ISJ2" s="61"/>
      <c r="ISK2" s="61"/>
      <c r="ISL2" s="61"/>
      <c r="ISM2" s="61"/>
      <c r="ISN2" s="61"/>
      <c r="ISO2" s="61"/>
      <c r="ISP2" s="61"/>
      <c r="ISQ2" s="61"/>
      <c r="ISR2" s="61"/>
      <c r="ISS2" s="61"/>
      <c r="IST2" s="61"/>
      <c r="ISU2" s="61"/>
      <c r="ISV2" s="61"/>
      <c r="ISW2" s="61"/>
      <c r="ISX2" s="61"/>
      <c r="ISY2" s="61"/>
      <c r="ISZ2" s="61"/>
      <c r="ITA2" s="61"/>
      <c r="ITB2" s="61"/>
      <c r="ITC2" s="61"/>
      <c r="ITD2" s="61"/>
      <c r="ITE2" s="61"/>
      <c r="ITF2" s="61"/>
      <c r="ITG2" s="61"/>
      <c r="ITH2" s="61"/>
      <c r="ITI2" s="61"/>
      <c r="ITJ2" s="61"/>
      <c r="ITK2" s="61"/>
      <c r="ITL2" s="61"/>
      <c r="ITM2" s="61"/>
      <c r="ITN2" s="61"/>
      <c r="ITO2" s="61"/>
      <c r="ITP2" s="61"/>
      <c r="ITQ2" s="61"/>
      <c r="ITR2" s="61"/>
      <c r="ITS2" s="61"/>
      <c r="ITT2" s="61"/>
      <c r="ITU2" s="61"/>
      <c r="ITV2" s="61"/>
      <c r="ITW2" s="61"/>
      <c r="ITX2" s="61"/>
      <c r="ITY2" s="61"/>
      <c r="ITZ2" s="61"/>
      <c r="IUA2" s="61"/>
      <c r="IUB2" s="61"/>
      <c r="IUC2" s="61"/>
      <c r="IUD2" s="61"/>
      <c r="IUE2" s="61"/>
      <c r="IUF2" s="61"/>
      <c r="IUG2" s="61"/>
      <c r="IUH2" s="61"/>
      <c r="IUI2" s="61"/>
      <c r="IUJ2" s="61"/>
      <c r="IUK2" s="61"/>
      <c r="IUL2" s="61"/>
      <c r="IUM2" s="61"/>
      <c r="IUN2" s="61"/>
      <c r="IUO2" s="61"/>
      <c r="IUP2" s="61"/>
      <c r="IUQ2" s="61"/>
      <c r="IUR2" s="61"/>
      <c r="IUS2" s="61"/>
      <c r="IUT2" s="61"/>
      <c r="IUU2" s="61"/>
      <c r="IUV2" s="61"/>
      <c r="IUW2" s="61"/>
      <c r="IUX2" s="61"/>
      <c r="IUY2" s="61"/>
      <c r="IUZ2" s="61"/>
      <c r="IVA2" s="61"/>
      <c r="IVB2" s="61"/>
      <c r="IVC2" s="61"/>
      <c r="IVD2" s="61"/>
      <c r="IVE2" s="61"/>
      <c r="IVF2" s="61"/>
      <c r="IVG2" s="61"/>
      <c r="IVH2" s="61"/>
      <c r="IVI2" s="61"/>
      <c r="IVJ2" s="61"/>
      <c r="IVK2" s="61"/>
      <c r="IVL2" s="61"/>
      <c r="IVM2" s="61"/>
      <c r="IVN2" s="61"/>
      <c r="IVO2" s="61"/>
      <c r="IVP2" s="61"/>
      <c r="IVQ2" s="61"/>
      <c r="IVR2" s="61"/>
      <c r="IVS2" s="61"/>
      <c r="IVT2" s="61"/>
      <c r="IVU2" s="61"/>
      <c r="IVV2" s="61"/>
      <c r="IVW2" s="61"/>
      <c r="IVX2" s="61"/>
      <c r="IVY2" s="61"/>
      <c r="IVZ2" s="61"/>
      <c r="IWA2" s="61"/>
      <c r="IWB2" s="61"/>
      <c r="IWC2" s="61"/>
      <c r="IWD2" s="61"/>
      <c r="IWE2" s="61"/>
      <c r="IWF2" s="61"/>
      <c r="IWG2" s="61"/>
      <c r="IWH2" s="61"/>
      <c r="IWI2" s="61"/>
      <c r="IWJ2" s="61"/>
      <c r="IWK2" s="61"/>
      <c r="IWL2" s="61"/>
      <c r="IWM2" s="61"/>
      <c r="IWN2" s="61"/>
      <c r="IWO2" s="61"/>
      <c r="IWP2" s="61"/>
      <c r="IWQ2" s="61"/>
      <c r="IWR2" s="61"/>
      <c r="IWS2" s="61"/>
      <c r="IWT2" s="61"/>
      <c r="IWU2" s="61"/>
      <c r="IWV2" s="61"/>
      <c r="IWW2" s="61"/>
      <c r="IWX2" s="61"/>
      <c r="IWY2" s="61"/>
      <c r="IWZ2" s="61"/>
      <c r="IXA2" s="61"/>
      <c r="IXB2" s="61"/>
      <c r="IXC2" s="61"/>
      <c r="IXD2" s="61"/>
      <c r="IXE2" s="61"/>
      <c r="IXF2" s="61"/>
      <c r="IXG2" s="61"/>
      <c r="IXH2" s="61"/>
      <c r="IXI2" s="61"/>
      <c r="IXJ2" s="61"/>
      <c r="IXK2" s="61"/>
      <c r="IXL2" s="61"/>
      <c r="IXM2" s="61"/>
      <c r="IXN2" s="61"/>
      <c r="IXO2" s="61"/>
      <c r="IXP2" s="61"/>
      <c r="IXQ2" s="61"/>
      <c r="IXR2" s="61"/>
      <c r="IXS2" s="61"/>
      <c r="IXT2" s="61"/>
      <c r="IXU2" s="61"/>
      <c r="IXV2" s="61"/>
      <c r="IXW2" s="61"/>
      <c r="IXX2" s="61"/>
      <c r="IXY2" s="61"/>
      <c r="IXZ2" s="61"/>
      <c r="IYA2" s="61"/>
      <c r="IYB2" s="61"/>
      <c r="IYC2" s="61"/>
      <c r="IYD2" s="61"/>
      <c r="IYE2" s="61"/>
      <c r="IYF2" s="61"/>
      <c r="IYG2" s="61"/>
      <c r="IYH2" s="61"/>
      <c r="IYI2" s="61"/>
      <c r="IYJ2" s="61"/>
      <c r="IYK2" s="61"/>
      <c r="IYL2" s="61"/>
      <c r="IYM2" s="61"/>
      <c r="IYN2" s="61"/>
      <c r="IYO2" s="61"/>
      <c r="IYP2" s="61"/>
      <c r="IYQ2" s="61"/>
      <c r="IYR2" s="61"/>
      <c r="IYS2" s="61"/>
      <c r="IYT2" s="61"/>
      <c r="IYU2" s="61"/>
      <c r="IYV2" s="61"/>
      <c r="IYW2" s="61"/>
      <c r="IYX2" s="61"/>
      <c r="IYY2" s="61"/>
      <c r="IYZ2" s="61"/>
      <c r="IZA2" s="61"/>
      <c r="IZB2" s="61"/>
      <c r="IZC2" s="61"/>
      <c r="IZD2" s="61"/>
      <c r="IZE2" s="61"/>
      <c r="IZF2" s="61"/>
      <c r="IZG2" s="61"/>
      <c r="IZH2" s="61"/>
      <c r="IZI2" s="61"/>
      <c r="IZJ2" s="61"/>
      <c r="IZK2" s="61"/>
      <c r="IZL2" s="61"/>
      <c r="IZM2" s="61"/>
      <c r="IZN2" s="61"/>
      <c r="IZO2" s="61"/>
      <c r="IZP2" s="61"/>
      <c r="IZQ2" s="61"/>
      <c r="IZR2" s="61"/>
      <c r="IZS2" s="61"/>
      <c r="IZT2" s="61"/>
      <c r="IZU2" s="61"/>
      <c r="IZV2" s="61"/>
      <c r="IZW2" s="61"/>
      <c r="IZX2" s="61"/>
      <c r="IZY2" s="61"/>
      <c r="IZZ2" s="61"/>
      <c r="JAA2" s="61"/>
      <c r="JAB2" s="61"/>
      <c r="JAC2" s="61"/>
      <c r="JAD2" s="61"/>
      <c r="JAE2" s="61"/>
      <c r="JAF2" s="61"/>
      <c r="JAG2" s="61"/>
      <c r="JAH2" s="61"/>
      <c r="JAI2" s="61"/>
      <c r="JAJ2" s="61"/>
      <c r="JAK2" s="61"/>
      <c r="JAL2" s="61"/>
      <c r="JAM2" s="61"/>
      <c r="JAN2" s="61"/>
      <c r="JAO2" s="61"/>
      <c r="JAP2" s="61"/>
      <c r="JAQ2" s="61"/>
      <c r="JAR2" s="61"/>
      <c r="JAS2" s="61"/>
      <c r="JAT2" s="61"/>
      <c r="JAU2" s="61"/>
      <c r="JAV2" s="61"/>
      <c r="JAW2" s="61"/>
      <c r="JAX2" s="61"/>
      <c r="JAY2" s="61"/>
      <c r="JAZ2" s="61"/>
      <c r="JBA2" s="61"/>
      <c r="JBB2" s="61"/>
      <c r="JBC2" s="61"/>
      <c r="JBD2" s="61"/>
      <c r="JBE2" s="61"/>
      <c r="JBF2" s="61"/>
      <c r="JBG2" s="61"/>
      <c r="JBH2" s="61"/>
      <c r="JBI2" s="61"/>
      <c r="JBJ2" s="61"/>
      <c r="JBK2" s="61"/>
      <c r="JBL2" s="61"/>
      <c r="JBM2" s="61"/>
      <c r="JBN2" s="61"/>
      <c r="JBO2" s="61"/>
      <c r="JBP2" s="61"/>
      <c r="JBQ2" s="61"/>
      <c r="JBR2" s="61"/>
      <c r="JBS2" s="61"/>
      <c r="JBT2" s="61"/>
      <c r="JBU2" s="61"/>
      <c r="JBV2" s="61"/>
      <c r="JBW2" s="61"/>
      <c r="JBX2" s="61"/>
      <c r="JBY2" s="61"/>
      <c r="JBZ2" s="61"/>
      <c r="JCA2" s="61"/>
      <c r="JCB2" s="61"/>
      <c r="JCC2" s="61"/>
      <c r="JCD2" s="61"/>
      <c r="JCE2" s="61"/>
      <c r="JCF2" s="61"/>
      <c r="JCG2" s="61"/>
      <c r="JCH2" s="61"/>
      <c r="JCI2" s="61"/>
      <c r="JCJ2" s="61"/>
      <c r="JCK2" s="61"/>
      <c r="JCL2" s="61"/>
      <c r="JCM2" s="61"/>
      <c r="JCN2" s="61"/>
      <c r="JCO2" s="61"/>
      <c r="JCP2" s="61"/>
      <c r="JCQ2" s="61"/>
      <c r="JCR2" s="61"/>
      <c r="JCS2" s="61"/>
      <c r="JCT2" s="61"/>
      <c r="JCU2" s="61"/>
      <c r="JCV2" s="61"/>
      <c r="JCW2" s="61"/>
      <c r="JCX2" s="61"/>
      <c r="JCY2" s="61"/>
      <c r="JCZ2" s="61"/>
      <c r="JDA2" s="61"/>
      <c r="JDB2" s="61"/>
      <c r="JDC2" s="61"/>
      <c r="JDD2" s="61"/>
      <c r="JDE2" s="61"/>
      <c r="JDF2" s="61"/>
      <c r="JDG2" s="61"/>
      <c r="JDH2" s="61"/>
      <c r="JDI2" s="61"/>
      <c r="JDJ2" s="61"/>
      <c r="JDK2" s="61"/>
      <c r="JDL2" s="61"/>
      <c r="JDM2" s="61"/>
      <c r="JDN2" s="61"/>
      <c r="JDO2" s="61"/>
      <c r="JDP2" s="61"/>
      <c r="JDQ2" s="61"/>
      <c r="JDR2" s="61"/>
      <c r="JDS2" s="61"/>
      <c r="JDT2" s="61"/>
      <c r="JDU2" s="61"/>
      <c r="JDV2" s="61"/>
      <c r="JDW2" s="61"/>
      <c r="JDX2" s="61"/>
      <c r="JDY2" s="61"/>
      <c r="JDZ2" s="61"/>
      <c r="JEA2" s="61"/>
      <c r="JEB2" s="61"/>
      <c r="JEC2" s="61"/>
      <c r="JED2" s="61"/>
      <c r="JEE2" s="61"/>
      <c r="JEF2" s="61"/>
      <c r="JEG2" s="61"/>
      <c r="JEH2" s="61"/>
      <c r="JEI2" s="61"/>
      <c r="JEJ2" s="61"/>
      <c r="JEK2" s="61"/>
      <c r="JEL2" s="61"/>
      <c r="JEM2" s="61"/>
      <c r="JEN2" s="61"/>
      <c r="JEO2" s="61"/>
      <c r="JEP2" s="61"/>
      <c r="JEQ2" s="61"/>
      <c r="JER2" s="61"/>
      <c r="JES2" s="61"/>
      <c r="JET2" s="61"/>
      <c r="JEU2" s="61"/>
      <c r="JEV2" s="61"/>
      <c r="JEW2" s="61"/>
      <c r="JEX2" s="61"/>
      <c r="JEY2" s="61"/>
      <c r="JEZ2" s="61"/>
      <c r="JFA2" s="61"/>
      <c r="JFB2" s="61"/>
      <c r="JFC2" s="61"/>
      <c r="JFD2" s="61"/>
      <c r="JFE2" s="61"/>
      <c r="JFF2" s="61"/>
      <c r="JFG2" s="61"/>
      <c r="JFH2" s="61"/>
      <c r="JFI2" s="61"/>
      <c r="JFJ2" s="61"/>
      <c r="JFK2" s="61"/>
      <c r="JFL2" s="61"/>
      <c r="JFM2" s="61"/>
      <c r="JFN2" s="61"/>
      <c r="JFO2" s="61"/>
      <c r="JFP2" s="61"/>
      <c r="JFQ2" s="61"/>
      <c r="JFR2" s="61"/>
      <c r="JFS2" s="61"/>
      <c r="JFT2" s="61"/>
      <c r="JFU2" s="61"/>
      <c r="JFV2" s="61"/>
      <c r="JFW2" s="61"/>
      <c r="JFX2" s="61"/>
      <c r="JFY2" s="61"/>
      <c r="JFZ2" s="61"/>
      <c r="JGA2" s="61"/>
      <c r="JGB2" s="61"/>
      <c r="JGC2" s="61"/>
      <c r="JGD2" s="61"/>
      <c r="JGE2" s="61"/>
      <c r="JGF2" s="61"/>
      <c r="JGG2" s="61"/>
      <c r="JGH2" s="61"/>
      <c r="JGI2" s="61"/>
      <c r="JGJ2" s="61"/>
      <c r="JGK2" s="61"/>
      <c r="JGL2" s="61"/>
      <c r="JGM2" s="61"/>
      <c r="JGN2" s="61"/>
      <c r="JGO2" s="61"/>
      <c r="JGP2" s="61"/>
      <c r="JGQ2" s="61"/>
      <c r="JGR2" s="61"/>
      <c r="JGS2" s="61"/>
      <c r="JGT2" s="61"/>
      <c r="JGU2" s="61"/>
      <c r="JGV2" s="61"/>
      <c r="JGW2" s="61"/>
      <c r="JGX2" s="61"/>
      <c r="JGY2" s="61"/>
      <c r="JGZ2" s="61"/>
      <c r="JHA2" s="61"/>
      <c r="JHB2" s="61"/>
      <c r="JHC2" s="61"/>
      <c r="JHD2" s="61"/>
      <c r="JHE2" s="61"/>
      <c r="JHF2" s="61"/>
      <c r="JHG2" s="61"/>
      <c r="JHH2" s="61"/>
      <c r="JHI2" s="61"/>
      <c r="JHJ2" s="61"/>
      <c r="JHK2" s="61"/>
      <c r="JHL2" s="61"/>
      <c r="JHM2" s="61"/>
      <c r="JHN2" s="61"/>
      <c r="JHO2" s="61"/>
      <c r="JHP2" s="61"/>
      <c r="JHQ2" s="61"/>
      <c r="JHR2" s="61"/>
      <c r="JHS2" s="61"/>
      <c r="JHT2" s="61"/>
      <c r="JHU2" s="61"/>
      <c r="JHV2" s="61"/>
      <c r="JHW2" s="61"/>
      <c r="JHX2" s="61"/>
      <c r="JHY2" s="61"/>
      <c r="JHZ2" s="61"/>
      <c r="JIA2" s="61"/>
      <c r="JIB2" s="61"/>
      <c r="JIC2" s="61"/>
      <c r="JID2" s="61"/>
      <c r="JIE2" s="61"/>
      <c r="JIF2" s="61"/>
      <c r="JIG2" s="61"/>
      <c r="JIH2" s="61"/>
      <c r="JII2" s="61"/>
      <c r="JIJ2" s="61"/>
      <c r="JIK2" s="61"/>
      <c r="JIL2" s="61"/>
      <c r="JIM2" s="61"/>
      <c r="JIN2" s="61"/>
      <c r="JIO2" s="61"/>
      <c r="JIP2" s="61"/>
      <c r="JIQ2" s="61"/>
      <c r="JIR2" s="61"/>
      <c r="JIS2" s="61"/>
      <c r="JIT2" s="61"/>
      <c r="JIU2" s="61"/>
      <c r="JIV2" s="61"/>
      <c r="JIW2" s="61"/>
      <c r="JIX2" s="61"/>
      <c r="JIY2" s="61"/>
      <c r="JIZ2" s="61"/>
      <c r="JJA2" s="61"/>
      <c r="JJB2" s="61"/>
      <c r="JJC2" s="61"/>
      <c r="JJD2" s="61"/>
      <c r="JJE2" s="61"/>
      <c r="JJF2" s="61"/>
      <c r="JJG2" s="61"/>
      <c r="JJH2" s="61"/>
      <c r="JJI2" s="61"/>
      <c r="JJJ2" s="61"/>
      <c r="JJK2" s="61"/>
      <c r="JJL2" s="61"/>
      <c r="JJM2" s="61"/>
      <c r="JJN2" s="61"/>
      <c r="JJO2" s="61"/>
      <c r="JJP2" s="61"/>
      <c r="JJQ2" s="61"/>
      <c r="JJR2" s="61"/>
      <c r="JJS2" s="61"/>
      <c r="JJT2" s="61"/>
      <c r="JJU2" s="61"/>
      <c r="JJV2" s="61"/>
      <c r="JJW2" s="61"/>
      <c r="JJX2" s="61"/>
      <c r="JJY2" s="61"/>
      <c r="JJZ2" s="61"/>
      <c r="JKA2" s="61"/>
      <c r="JKB2" s="61"/>
      <c r="JKC2" s="61"/>
      <c r="JKD2" s="61"/>
      <c r="JKE2" s="61"/>
      <c r="JKF2" s="61"/>
      <c r="JKG2" s="61"/>
      <c r="JKH2" s="61"/>
      <c r="JKI2" s="61"/>
      <c r="JKJ2" s="61"/>
      <c r="JKK2" s="61"/>
      <c r="JKL2" s="61"/>
      <c r="JKM2" s="61"/>
      <c r="JKN2" s="61"/>
      <c r="JKO2" s="61"/>
      <c r="JKP2" s="61"/>
      <c r="JKQ2" s="61"/>
      <c r="JKR2" s="61"/>
      <c r="JKS2" s="61"/>
      <c r="JKT2" s="61"/>
      <c r="JKU2" s="61"/>
      <c r="JKV2" s="61"/>
      <c r="JKW2" s="61"/>
      <c r="JKX2" s="61"/>
      <c r="JKY2" s="61"/>
      <c r="JKZ2" s="61"/>
      <c r="JLA2" s="61"/>
      <c r="JLB2" s="61"/>
      <c r="JLC2" s="61"/>
      <c r="JLD2" s="61"/>
      <c r="JLE2" s="61"/>
      <c r="JLF2" s="61"/>
      <c r="JLG2" s="61"/>
      <c r="JLH2" s="61"/>
      <c r="JLI2" s="61"/>
      <c r="JLJ2" s="61"/>
      <c r="JLK2" s="61"/>
      <c r="JLL2" s="61"/>
      <c r="JLM2" s="61"/>
      <c r="JLN2" s="61"/>
      <c r="JLO2" s="61"/>
      <c r="JLP2" s="61"/>
      <c r="JLQ2" s="61"/>
      <c r="JLR2" s="61"/>
      <c r="JLS2" s="61"/>
      <c r="JLT2" s="61"/>
      <c r="JLU2" s="61"/>
      <c r="JLV2" s="61"/>
      <c r="JLW2" s="61"/>
      <c r="JLX2" s="61"/>
      <c r="JLY2" s="61"/>
      <c r="JLZ2" s="61"/>
      <c r="JMA2" s="61"/>
      <c r="JMB2" s="61"/>
      <c r="JMC2" s="61"/>
      <c r="JMD2" s="61"/>
      <c r="JME2" s="61"/>
      <c r="JMF2" s="61"/>
      <c r="JMG2" s="61"/>
      <c r="JMH2" s="61"/>
      <c r="JMI2" s="61"/>
      <c r="JMJ2" s="61"/>
      <c r="JMK2" s="61"/>
      <c r="JML2" s="61"/>
      <c r="JMM2" s="61"/>
      <c r="JMN2" s="61"/>
      <c r="JMO2" s="61"/>
      <c r="JMP2" s="61"/>
      <c r="JMQ2" s="61"/>
      <c r="JMR2" s="61"/>
      <c r="JMS2" s="61"/>
      <c r="JMT2" s="61"/>
      <c r="JMU2" s="61"/>
      <c r="JMV2" s="61"/>
      <c r="JMW2" s="61"/>
      <c r="JMX2" s="61"/>
      <c r="JMY2" s="61"/>
      <c r="JMZ2" s="61"/>
      <c r="JNA2" s="61"/>
      <c r="JNB2" s="61"/>
      <c r="JNC2" s="61"/>
      <c r="JND2" s="61"/>
      <c r="JNE2" s="61"/>
      <c r="JNF2" s="61"/>
      <c r="JNG2" s="61"/>
      <c r="JNH2" s="61"/>
      <c r="JNI2" s="61"/>
      <c r="JNJ2" s="61"/>
      <c r="JNK2" s="61"/>
      <c r="JNL2" s="61"/>
      <c r="JNM2" s="61"/>
      <c r="JNN2" s="61"/>
      <c r="JNO2" s="61"/>
      <c r="JNP2" s="61"/>
      <c r="JNQ2" s="61"/>
      <c r="JNR2" s="61"/>
      <c r="JNS2" s="61"/>
      <c r="JNT2" s="61"/>
      <c r="JNU2" s="61"/>
      <c r="JNV2" s="61"/>
      <c r="JNW2" s="61"/>
      <c r="JNX2" s="61"/>
      <c r="JNY2" s="61"/>
      <c r="JNZ2" s="61"/>
      <c r="JOA2" s="61"/>
      <c r="JOB2" s="61"/>
      <c r="JOC2" s="61"/>
      <c r="JOD2" s="61"/>
      <c r="JOE2" s="61"/>
      <c r="JOF2" s="61"/>
      <c r="JOG2" s="61"/>
      <c r="JOH2" s="61"/>
      <c r="JOI2" s="61"/>
      <c r="JOJ2" s="61"/>
      <c r="JOK2" s="61"/>
      <c r="JOL2" s="61"/>
      <c r="JOM2" s="61"/>
      <c r="JON2" s="61"/>
      <c r="JOO2" s="61"/>
      <c r="JOP2" s="61"/>
      <c r="JOQ2" s="61"/>
      <c r="JOR2" s="61"/>
      <c r="JOS2" s="61"/>
      <c r="JOT2" s="61"/>
      <c r="JOU2" s="61"/>
      <c r="JOV2" s="61"/>
      <c r="JOW2" s="61"/>
      <c r="JOX2" s="61"/>
      <c r="JOY2" s="61"/>
      <c r="JOZ2" s="61"/>
      <c r="JPA2" s="61"/>
      <c r="JPB2" s="61"/>
      <c r="JPC2" s="61"/>
      <c r="JPD2" s="61"/>
      <c r="JPE2" s="61"/>
      <c r="JPF2" s="61"/>
      <c r="JPG2" s="61"/>
      <c r="JPH2" s="61"/>
      <c r="JPI2" s="61"/>
      <c r="JPJ2" s="61"/>
      <c r="JPK2" s="61"/>
      <c r="JPL2" s="61"/>
      <c r="JPM2" s="61"/>
      <c r="JPN2" s="61"/>
      <c r="JPO2" s="61"/>
      <c r="JPP2" s="61"/>
      <c r="JPQ2" s="61"/>
      <c r="JPR2" s="61"/>
      <c r="JPS2" s="61"/>
      <c r="JPT2" s="61"/>
      <c r="JPU2" s="61"/>
      <c r="JPV2" s="61"/>
      <c r="JPW2" s="61"/>
      <c r="JPX2" s="61"/>
      <c r="JPY2" s="61"/>
      <c r="JPZ2" s="61"/>
      <c r="JQA2" s="61"/>
      <c r="JQB2" s="61"/>
      <c r="JQC2" s="61"/>
      <c r="JQD2" s="61"/>
      <c r="JQE2" s="61"/>
      <c r="JQF2" s="61"/>
      <c r="JQG2" s="61"/>
      <c r="JQH2" s="61"/>
      <c r="JQI2" s="61"/>
      <c r="JQJ2" s="61"/>
      <c r="JQK2" s="61"/>
      <c r="JQL2" s="61"/>
      <c r="JQM2" s="61"/>
      <c r="JQN2" s="61"/>
      <c r="JQO2" s="61"/>
      <c r="JQP2" s="61"/>
      <c r="JQQ2" s="61"/>
      <c r="JQR2" s="61"/>
      <c r="JQS2" s="61"/>
      <c r="JQT2" s="61"/>
      <c r="JQU2" s="61"/>
      <c r="JQV2" s="61"/>
      <c r="JQW2" s="61"/>
      <c r="JQX2" s="61"/>
      <c r="JQY2" s="61"/>
      <c r="JQZ2" s="61"/>
      <c r="JRA2" s="61"/>
      <c r="JRB2" s="61"/>
      <c r="JRC2" s="61"/>
      <c r="JRD2" s="61"/>
      <c r="JRE2" s="61"/>
      <c r="JRF2" s="61"/>
      <c r="JRG2" s="61"/>
      <c r="JRH2" s="61"/>
      <c r="JRI2" s="61"/>
      <c r="JRJ2" s="61"/>
      <c r="JRK2" s="61"/>
      <c r="JRL2" s="61"/>
      <c r="JRM2" s="61"/>
      <c r="JRN2" s="61"/>
      <c r="JRO2" s="61"/>
      <c r="JRP2" s="61"/>
      <c r="JRQ2" s="61"/>
      <c r="JRR2" s="61"/>
      <c r="JRS2" s="61"/>
      <c r="JRT2" s="61"/>
      <c r="JRU2" s="61"/>
      <c r="JRV2" s="61"/>
      <c r="JRW2" s="61"/>
      <c r="JRX2" s="61"/>
      <c r="JRY2" s="61"/>
      <c r="JRZ2" s="61"/>
      <c r="JSA2" s="61"/>
      <c r="JSB2" s="61"/>
      <c r="JSC2" s="61"/>
      <c r="JSD2" s="61"/>
      <c r="JSE2" s="61"/>
      <c r="JSF2" s="61"/>
      <c r="JSG2" s="61"/>
      <c r="JSH2" s="61"/>
      <c r="JSI2" s="61"/>
      <c r="JSJ2" s="61"/>
      <c r="JSK2" s="61"/>
      <c r="JSL2" s="61"/>
      <c r="JSM2" s="61"/>
      <c r="JSN2" s="61"/>
      <c r="JSO2" s="61"/>
      <c r="JSP2" s="61"/>
      <c r="JSQ2" s="61"/>
      <c r="JSR2" s="61"/>
      <c r="JSS2" s="61"/>
      <c r="JST2" s="61"/>
      <c r="JSU2" s="61"/>
      <c r="JSV2" s="61"/>
      <c r="JSW2" s="61"/>
      <c r="JSX2" s="61"/>
      <c r="JSY2" s="61"/>
      <c r="JSZ2" s="61"/>
      <c r="JTA2" s="61"/>
      <c r="JTB2" s="61"/>
      <c r="JTC2" s="61"/>
      <c r="JTD2" s="61"/>
      <c r="JTE2" s="61"/>
      <c r="JTF2" s="61"/>
      <c r="JTG2" s="61"/>
      <c r="JTH2" s="61"/>
      <c r="JTI2" s="61"/>
      <c r="JTJ2" s="61"/>
      <c r="JTK2" s="61"/>
      <c r="JTL2" s="61"/>
      <c r="JTM2" s="61"/>
      <c r="JTN2" s="61"/>
      <c r="JTO2" s="61"/>
      <c r="JTP2" s="61"/>
      <c r="JTQ2" s="61"/>
      <c r="JTR2" s="61"/>
      <c r="JTS2" s="61"/>
      <c r="JTT2" s="61"/>
      <c r="JTU2" s="61"/>
      <c r="JTV2" s="61"/>
      <c r="JTW2" s="61"/>
      <c r="JTX2" s="61"/>
      <c r="JTY2" s="61"/>
      <c r="JTZ2" s="61"/>
      <c r="JUA2" s="61"/>
      <c r="JUB2" s="61"/>
      <c r="JUC2" s="61"/>
      <c r="JUD2" s="61"/>
      <c r="JUE2" s="61"/>
      <c r="JUF2" s="61"/>
      <c r="JUG2" s="61"/>
      <c r="JUH2" s="61"/>
      <c r="JUI2" s="61"/>
      <c r="JUJ2" s="61"/>
      <c r="JUK2" s="61"/>
      <c r="JUL2" s="61"/>
      <c r="JUM2" s="61"/>
      <c r="JUN2" s="61"/>
      <c r="JUO2" s="61"/>
      <c r="JUP2" s="61"/>
      <c r="JUQ2" s="61"/>
      <c r="JUR2" s="61"/>
      <c r="JUS2" s="61"/>
      <c r="JUT2" s="61"/>
      <c r="JUU2" s="61"/>
      <c r="JUV2" s="61"/>
      <c r="JUW2" s="61"/>
      <c r="JUX2" s="61"/>
      <c r="JUY2" s="61"/>
      <c r="JUZ2" s="61"/>
      <c r="JVA2" s="61"/>
      <c r="JVB2" s="61"/>
      <c r="JVC2" s="61"/>
      <c r="JVD2" s="61"/>
      <c r="JVE2" s="61"/>
      <c r="JVF2" s="61"/>
      <c r="JVG2" s="61"/>
      <c r="JVH2" s="61"/>
      <c r="JVI2" s="61"/>
      <c r="JVJ2" s="61"/>
      <c r="JVK2" s="61"/>
      <c r="JVL2" s="61"/>
      <c r="JVM2" s="61"/>
      <c r="JVN2" s="61"/>
      <c r="JVO2" s="61"/>
      <c r="JVP2" s="61"/>
      <c r="JVQ2" s="61"/>
      <c r="JVR2" s="61"/>
      <c r="JVS2" s="61"/>
      <c r="JVT2" s="61"/>
      <c r="JVU2" s="61"/>
      <c r="JVV2" s="61"/>
      <c r="JVW2" s="61"/>
      <c r="JVX2" s="61"/>
      <c r="JVY2" s="61"/>
      <c r="JVZ2" s="61"/>
      <c r="JWA2" s="61"/>
      <c r="JWB2" s="61"/>
      <c r="JWC2" s="61"/>
      <c r="JWD2" s="61"/>
      <c r="JWE2" s="61"/>
      <c r="JWF2" s="61"/>
      <c r="JWG2" s="61"/>
      <c r="JWH2" s="61"/>
      <c r="JWI2" s="61"/>
      <c r="JWJ2" s="61"/>
      <c r="JWK2" s="61"/>
      <c r="JWL2" s="61"/>
      <c r="JWM2" s="61"/>
      <c r="JWN2" s="61"/>
      <c r="JWO2" s="61"/>
      <c r="JWP2" s="61"/>
      <c r="JWQ2" s="61"/>
      <c r="JWR2" s="61"/>
      <c r="JWS2" s="61"/>
      <c r="JWT2" s="61"/>
      <c r="JWU2" s="61"/>
      <c r="JWV2" s="61"/>
      <c r="JWW2" s="61"/>
      <c r="JWX2" s="61"/>
      <c r="JWY2" s="61"/>
      <c r="JWZ2" s="61"/>
      <c r="JXA2" s="61"/>
      <c r="JXB2" s="61"/>
      <c r="JXC2" s="61"/>
      <c r="JXD2" s="61"/>
      <c r="JXE2" s="61"/>
      <c r="JXF2" s="61"/>
      <c r="JXG2" s="61"/>
      <c r="JXH2" s="61"/>
      <c r="JXI2" s="61"/>
      <c r="JXJ2" s="61"/>
      <c r="JXK2" s="61"/>
      <c r="JXL2" s="61"/>
      <c r="JXM2" s="61"/>
      <c r="JXN2" s="61"/>
      <c r="JXO2" s="61"/>
      <c r="JXP2" s="61"/>
      <c r="JXQ2" s="61"/>
      <c r="JXR2" s="61"/>
      <c r="JXS2" s="61"/>
      <c r="JXT2" s="61"/>
      <c r="JXU2" s="61"/>
      <c r="JXV2" s="61"/>
      <c r="JXW2" s="61"/>
      <c r="JXX2" s="61"/>
      <c r="JXY2" s="61"/>
      <c r="JXZ2" s="61"/>
      <c r="JYA2" s="61"/>
      <c r="JYB2" s="61"/>
      <c r="JYC2" s="61"/>
      <c r="JYD2" s="61"/>
      <c r="JYE2" s="61"/>
      <c r="JYF2" s="61"/>
      <c r="JYG2" s="61"/>
      <c r="JYH2" s="61"/>
      <c r="JYI2" s="61"/>
      <c r="JYJ2" s="61"/>
      <c r="JYK2" s="61"/>
      <c r="JYL2" s="61"/>
      <c r="JYM2" s="61"/>
      <c r="JYN2" s="61"/>
      <c r="JYO2" s="61"/>
      <c r="JYP2" s="61"/>
      <c r="JYQ2" s="61"/>
      <c r="JYR2" s="61"/>
      <c r="JYS2" s="61"/>
      <c r="JYT2" s="61"/>
      <c r="JYU2" s="61"/>
      <c r="JYV2" s="61"/>
      <c r="JYW2" s="61"/>
      <c r="JYX2" s="61"/>
      <c r="JYY2" s="61"/>
      <c r="JYZ2" s="61"/>
      <c r="JZA2" s="61"/>
      <c r="JZB2" s="61"/>
      <c r="JZC2" s="61"/>
      <c r="JZD2" s="61"/>
      <c r="JZE2" s="61"/>
      <c r="JZF2" s="61"/>
      <c r="JZG2" s="61"/>
      <c r="JZH2" s="61"/>
      <c r="JZI2" s="61"/>
      <c r="JZJ2" s="61"/>
      <c r="JZK2" s="61"/>
      <c r="JZL2" s="61"/>
      <c r="JZM2" s="61"/>
      <c r="JZN2" s="61"/>
      <c r="JZO2" s="61"/>
      <c r="JZP2" s="61"/>
      <c r="JZQ2" s="61"/>
      <c r="JZR2" s="61"/>
      <c r="JZS2" s="61"/>
      <c r="JZT2" s="61"/>
      <c r="JZU2" s="61"/>
      <c r="JZV2" s="61"/>
      <c r="JZW2" s="61"/>
      <c r="JZX2" s="61"/>
      <c r="JZY2" s="61"/>
      <c r="JZZ2" s="61"/>
      <c r="KAA2" s="61"/>
      <c r="KAB2" s="61"/>
      <c r="KAC2" s="61"/>
      <c r="KAD2" s="61"/>
      <c r="KAE2" s="61"/>
      <c r="KAF2" s="61"/>
      <c r="KAG2" s="61"/>
      <c r="KAH2" s="61"/>
      <c r="KAI2" s="61"/>
      <c r="KAJ2" s="61"/>
      <c r="KAK2" s="61"/>
      <c r="KAL2" s="61"/>
      <c r="KAM2" s="61"/>
      <c r="KAN2" s="61"/>
      <c r="KAO2" s="61"/>
      <c r="KAP2" s="61"/>
      <c r="KAQ2" s="61"/>
      <c r="KAR2" s="61"/>
      <c r="KAS2" s="61"/>
      <c r="KAT2" s="61"/>
      <c r="KAU2" s="61"/>
      <c r="KAV2" s="61"/>
      <c r="KAW2" s="61"/>
      <c r="KAX2" s="61"/>
      <c r="KAY2" s="61"/>
      <c r="KAZ2" s="61"/>
      <c r="KBA2" s="61"/>
      <c r="KBB2" s="61"/>
      <c r="KBC2" s="61"/>
      <c r="KBD2" s="61"/>
      <c r="KBE2" s="61"/>
      <c r="KBF2" s="61"/>
      <c r="KBG2" s="61"/>
      <c r="KBH2" s="61"/>
      <c r="KBI2" s="61"/>
      <c r="KBJ2" s="61"/>
      <c r="KBK2" s="61"/>
      <c r="KBL2" s="61"/>
      <c r="KBM2" s="61"/>
      <c r="KBN2" s="61"/>
      <c r="KBO2" s="61"/>
      <c r="KBP2" s="61"/>
      <c r="KBQ2" s="61"/>
      <c r="KBR2" s="61"/>
      <c r="KBS2" s="61"/>
      <c r="KBT2" s="61"/>
      <c r="KBU2" s="61"/>
      <c r="KBV2" s="61"/>
      <c r="KBW2" s="61"/>
      <c r="KBX2" s="61"/>
      <c r="KBY2" s="61"/>
      <c r="KBZ2" s="61"/>
      <c r="KCA2" s="61"/>
      <c r="KCB2" s="61"/>
      <c r="KCC2" s="61"/>
      <c r="KCD2" s="61"/>
      <c r="KCE2" s="61"/>
      <c r="KCF2" s="61"/>
      <c r="KCG2" s="61"/>
      <c r="KCH2" s="61"/>
      <c r="KCI2" s="61"/>
      <c r="KCJ2" s="61"/>
      <c r="KCK2" s="61"/>
      <c r="KCL2" s="61"/>
      <c r="KCM2" s="61"/>
      <c r="KCN2" s="61"/>
      <c r="KCO2" s="61"/>
      <c r="KCP2" s="61"/>
      <c r="KCQ2" s="61"/>
      <c r="KCR2" s="61"/>
      <c r="KCS2" s="61"/>
      <c r="KCT2" s="61"/>
      <c r="KCU2" s="61"/>
      <c r="KCV2" s="61"/>
      <c r="KCW2" s="61"/>
      <c r="KCX2" s="61"/>
      <c r="KCY2" s="61"/>
      <c r="KCZ2" s="61"/>
      <c r="KDA2" s="61"/>
      <c r="KDB2" s="61"/>
      <c r="KDC2" s="61"/>
      <c r="KDD2" s="61"/>
      <c r="KDE2" s="61"/>
      <c r="KDF2" s="61"/>
      <c r="KDG2" s="61"/>
      <c r="KDH2" s="61"/>
      <c r="KDI2" s="61"/>
      <c r="KDJ2" s="61"/>
      <c r="KDK2" s="61"/>
      <c r="KDL2" s="61"/>
      <c r="KDM2" s="61"/>
      <c r="KDN2" s="61"/>
      <c r="KDO2" s="61"/>
      <c r="KDP2" s="61"/>
      <c r="KDQ2" s="61"/>
      <c r="KDR2" s="61"/>
      <c r="KDS2" s="61"/>
      <c r="KDT2" s="61"/>
      <c r="KDU2" s="61"/>
      <c r="KDV2" s="61"/>
      <c r="KDW2" s="61"/>
      <c r="KDX2" s="61"/>
      <c r="KDY2" s="61"/>
      <c r="KDZ2" s="61"/>
      <c r="KEA2" s="61"/>
      <c r="KEB2" s="61"/>
      <c r="KEC2" s="61"/>
      <c r="KED2" s="61"/>
      <c r="KEE2" s="61"/>
      <c r="KEF2" s="61"/>
      <c r="KEG2" s="61"/>
      <c r="KEH2" s="61"/>
      <c r="KEI2" s="61"/>
      <c r="KEJ2" s="61"/>
      <c r="KEK2" s="61"/>
      <c r="KEL2" s="61"/>
      <c r="KEM2" s="61"/>
      <c r="KEN2" s="61"/>
      <c r="KEO2" s="61"/>
      <c r="KEP2" s="61"/>
      <c r="KEQ2" s="61"/>
      <c r="KER2" s="61"/>
      <c r="KES2" s="61"/>
      <c r="KET2" s="61"/>
      <c r="KEU2" s="61"/>
      <c r="KEV2" s="61"/>
      <c r="KEW2" s="61"/>
      <c r="KEX2" s="61"/>
      <c r="KEY2" s="61"/>
      <c r="KEZ2" s="61"/>
      <c r="KFA2" s="61"/>
      <c r="KFB2" s="61"/>
      <c r="KFC2" s="61"/>
      <c r="KFD2" s="61"/>
      <c r="KFE2" s="61"/>
      <c r="KFF2" s="61"/>
      <c r="KFG2" s="61"/>
      <c r="KFH2" s="61"/>
      <c r="KFI2" s="61"/>
      <c r="KFJ2" s="61"/>
      <c r="KFK2" s="61"/>
      <c r="KFL2" s="61"/>
      <c r="KFM2" s="61"/>
      <c r="KFN2" s="61"/>
      <c r="KFO2" s="61"/>
      <c r="KFP2" s="61"/>
      <c r="KFQ2" s="61"/>
      <c r="KFR2" s="61"/>
      <c r="KFS2" s="61"/>
      <c r="KFT2" s="61"/>
      <c r="KFU2" s="61"/>
      <c r="KFV2" s="61"/>
      <c r="KFW2" s="61"/>
      <c r="KFX2" s="61"/>
      <c r="KFY2" s="61"/>
      <c r="KFZ2" s="61"/>
      <c r="KGA2" s="61"/>
      <c r="KGB2" s="61"/>
      <c r="KGC2" s="61"/>
      <c r="KGD2" s="61"/>
      <c r="KGE2" s="61"/>
      <c r="KGF2" s="61"/>
      <c r="KGG2" s="61"/>
      <c r="KGH2" s="61"/>
      <c r="KGI2" s="61"/>
      <c r="KGJ2" s="61"/>
      <c r="KGK2" s="61"/>
      <c r="KGL2" s="61"/>
      <c r="KGM2" s="61"/>
      <c r="KGN2" s="61"/>
      <c r="KGO2" s="61"/>
      <c r="KGP2" s="61"/>
      <c r="KGQ2" s="61"/>
      <c r="KGR2" s="61"/>
      <c r="KGS2" s="61"/>
      <c r="KGT2" s="61"/>
      <c r="KGU2" s="61"/>
      <c r="KGV2" s="61"/>
      <c r="KGW2" s="61"/>
      <c r="KGX2" s="61"/>
      <c r="KGY2" s="61"/>
      <c r="KGZ2" s="61"/>
      <c r="KHA2" s="61"/>
      <c r="KHB2" s="61"/>
      <c r="KHC2" s="61"/>
      <c r="KHD2" s="61"/>
      <c r="KHE2" s="61"/>
      <c r="KHF2" s="61"/>
      <c r="KHG2" s="61"/>
      <c r="KHH2" s="61"/>
      <c r="KHI2" s="61"/>
      <c r="KHJ2" s="61"/>
      <c r="KHK2" s="61"/>
      <c r="KHL2" s="61"/>
      <c r="KHM2" s="61"/>
      <c r="KHN2" s="61"/>
      <c r="KHO2" s="61"/>
      <c r="KHP2" s="61"/>
      <c r="KHQ2" s="61"/>
      <c r="KHR2" s="61"/>
      <c r="KHS2" s="61"/>
      <c r="KHT2" s="61"/>
      <c r="KHU2" s="61"/>
      <c r="KHV2" s="61"/>
      <c r="KHW2" s="61"/>
      <c r="KHX2" s="61"/>
      <c r="KHY2" s="61"/>
      <c r="KHZ2" s="61"/>
      <c r="KIA2" s="61"/>
      <c r="KIB2" s="61"/>
      <c r="KIC2" s="61"/>
      <c r="KID2" s="61"/>
      <c r="KIE2" s="61"/>
      <c r="KIF2" s="61"/>
      <c r="KIG2" s="61"/>
      <c r="KIH2" s="61"/>
      <c r="KII2" s="61"/>
      <c r="KIJ2" s="61"/>
      <c r="KIK2" s="61"/>
      <c r="KIL2" s="61"/>
      <c r="KIM2" s="61"/>
      <c r="KIN2" s="61"/>
      <c r="KIO2" s="61"/>
      <c r="KIP2" s="61"/>
      <c r="KIQ2" s="61"/>
      <c r="KIR2" s="61"/>
      <c r="KIS2" s="61"/>
      <c r="KIT2" s="61"/>
      <c r="KIU2" s="61"/>
      <c r="KIV2" s="61"/>
      <c r="KIW2" s="61"/>
      <c r="KIX2" s="61"/>
      <c r="KIY2" s="61"/>
      <c r="KIZ2" s="61"/>
      <c r="KJA2" s="61"/>
      <c r="KJB2" s="61"/>
      <c r="KJC2" s="61"/>
      <c r="KJD2" s="61"/>
      <c r="KJE2" s="61"/>
      <c r="KJF2" s="61"/>
      <c r="KJG2" s="61"/>
      <c r="KJH2" s="61"/>
      <c r="KJI2" s="61"/>
      <c r="KJJ2" s="61"/>
      <c r="KJK2" s="61"/>
      <c r="KJL2" s="61"/>
      <c r="KJM2" s="61"/>
      <c r="KJN2" s="61"/>
      <c r="KJO2" s="61"/>
      <c r="KJP2" s="61"/>
      <c r="KJQ2" s="61"/>
      <c r="KJR2" s="61"/>
      <c r="KJS2" s="61"/>
      <c r="KJT2" s="61"/>
      <c r="KJU2" s="61"/>
      <c r="KJV2" s="61"/>
      <c r="KJW2" s="61"/>
      <c r="KJX2" s="61"/>
      <c r="KJY2" s="61"/>
      <c r="KJZ2" s="61"/>
      <c r="KKA2" s="61"/>
      <c r="KKB2" s="61"/>
      <c r="KKC2" s="61"/>
      <c r="KKD2" s="61"/>
      <c r="KKE2" s="61"/>
      <c r="KKF2" s="61"/>
      <c r="KKG2" s="61"/>
      <c r="KKH2" s="61"/>
      <c r="KKI2" s="61"/>
      <c r="KKJ2" s="61"/>
      <c r="KKK2" s="61"/>
      <c r="KKL2" s="61"/>
      <c r="KKM2" s="61"/>
      <c r="KKN2" s="61"/>
      <c r="KKO2" s="61"/>
      <c r="KKP2" s="61"/>
      <c r="KKQ2" s="61"/>
      <c r="KKR2" s="61"/>
      <c r="KKS2" s="61"/>
      <c r="KKT2" s="61"/>
      <c r="KKU2" s="61"/>
      <c r="KKV2" s="61"/>
      <c r="KKW2" s="61"/>
      <c r="KKX2" s="61"/>
      <c r="KKY2" s="61"/>
      <c r="KKZ2" s="61"/>
      <c r="KLA2" s="61"/>
      <c r="KLB2" s="61"/>
      <c r="KLC2" s="61"/>
      <c r="KLD2" s="61"/>
      <c r="KLE2" s="61"/>
      <c r="KLF2" s="61"/>
      <c r="KLG2" s="61"/>
      <c r="KLH2" s="61"/>
      <c r="KLI2" s="61"/>
      <c r="KLJ2" s="61"/>
      <c r="KLK2" s="61"/>
      <c r="KLL2" s="61"/>
      <c r="KLM2" s="61"/>
      <c r="KLN2" s="61"/>
      <c r="KLO2" s="61"/>
      <c r="KLP2" s="61"/>
      <c r="KLQ2" s="61"/>
      <c r="KLR2" s="61"/>
      <c r="KLS2" s="61"/>
      <c r="KLT2" s="61"/>
      <c r="KLU2" s="61"/>
      <c r="KLV2" s="61"/>
      <c r="KLW2" s="61"/>
      <c r="KLX2" s="61"/>
      <c r="KLY2" s="61"/>
      <c r="KLZ2" s="61"/>
      <c r="KMA2" s="61"/>
      <c r="KMB2" s="61"/>
      <c r="KMC2" s="61"/>
      <c r="KMD2" s="61"/>
      <c r="KME2" s="61"/>
      <c r="KMF2" s="61"/>
      <c r="KMG2" s="61"/>
      <c r="KMH2" s="61"/>
      <c r="KMI2" s="61"/>
      <c r="KMJ2" s="61"/>
      <c r="KMK2" s="61"/>
      <c r="KML2" s="61"/>
      <c r="KMM2" s="61"/>
      <c r="KMN2" s="61"/>
      <c r="KMO2" s="61"/>
      <c r="KMP2" s="61"/>
      <c r="KMQ2" s="61"/>
      <c r="KMR2" s="61"/>
      <c r="KMS2" s="61"/>
      <c r="KMT2" s="61"/>
      <c r="KMU2" s="61"/>
      <c r="KMV2" s="61"/>
      <c r="KMW2" s="61"/>
      <c r="KMX2" s="61"/>
      <c r="KMY2" s="61"/>
      <c r="KMZ2" s="61"/>
      <c r="KNA2" s="61"/>
      <c r="KNB2" s="61"/>
      <c r="KNC2" s="61"/>
      <c r="KND2" s="61"/>
      <c r="KNE2" s="61"/>
      <c r="KNF2" s="61"/>
      <c r="KNG2" s="61"/>
      <c r="KNH2" s="61"/>
      <c r="KNI2" s="61"/>
      <c r="KNJ2" s="61"/>
      <c r="KNK2" s="61"/>
      <c r="KNL2" s="61"/>
      <c r="KNM2" s="61"/>
      <c r="KNN2" s="61"/>
      <c r="KNO2" s="61"/>
      <c r="KNP2" s="61"/>
      <c r="KNQ2" s="61"/>
      <c r="KNR2" s="61"/>
      <c r="KNS2" s="61"/>
      <c r="KNT2" s="61"/>
      <c r="KNU2" s="61"/>
      <c r="KNV2" s="61"/>
      <c r="KNW2" s="61"/>
      <c r="KNX2" s="61"/>
      <c r="KNY2" s="61"/>
      <c r="KNZ2" s="61"/>
      <c r="KOA2" s="61"/>
      <c r="KOB2" s="61"/>
      <c r="KOC2" s="61"/>
      <c r="KOD2" s="61"/>
      <c r="KOE2" s="61"/>
      <c r="KOF2" s="61"/>
      <c r="KOG2" s="61"/>
      <c r="KOH2" s="61"/>
      <c r="KOI2" s="61"/>
      <c r="KOJ2" s="61"/>
      <c r="KOK2" s="61"/>
      <c r="KOL2" s="61"/>
      <c r="KOM2" s="61"/>
      <c r="KON2" s="61"/>
      <c r="KOO2" s="61"/>
      <c r="KOP2" s="61"/>
      <c r="KOQ2" s="61"/>
      <c r="KOR2" s="61"/>
      <c r="KOS2" s="61"/>
      <c r="KOT2" s="61"/>
      <c r="KOU2" s="61"/>
      <c r="KOV2" s="61"/>
      <c r="KOW2" s="61"/>
      <c r="KOX2" s="61"/>
      <c r="KOY2" s="61"/>
      <c r="KOZ2" s="61"/>
      <c r="KPA2" s="61"/>
      <c r="KPB2" s="61"/>
      <c r="KPC2" s="61"/>
      <c r="KPD2" s="61"/>
      <c r="KPE2" s="61"/>
      <c r="KPF2" s="61"/>
      <c r="KPG2" s="61"/>
      <c r="KPH2" s="61"/>
      <c r="KPI2" s="61"/>
      <c r="KPJ2" s="61"/>
      <c r="KPK2" s="61"/>
      <c r="KPL2" s="61"/>
      <c r="KPM2" s="61"/>
      <c r="KPN2" s="61"/>
      <c r="KPO2" s="61"/>
      <c r="KPP2" s="61"/>
      <c r="KPQ2" s="61"/>
      <c r="KPR2" s="61"/>
      <c r="KPS2" s="61"/>
      <c r="KPT2" s="61"/>
      <c r="KPU2" s="61"/>
      <c r="KPV2" s="61"/>
      <c r="KPW2" s="61"/>
      <c r="KPX2" s="61"/>
      <c r="KPY2" s="61"/>
      <c r="KPZ2" s="61"/>
      <c r="KQA2" s="61"/>
      <c r="KQB2" s="61"/>
      <c r="KQC2" s="61"/>
      <c r="KQD2" s="61"/>
      <c r="KQE2" s="61"/>
      <c r="KQF2" s="61"/>
      <c r="KQG2" s="61"/>
      <c r="KQH2" s="61"/>
      <c r="KQI2" s="61"/>
      <c r="KQJ2" s="61"/>
      <c r="KQK2" s="61"/>
      <c r="KQL2" s="61"/>
      <c r="KQM2" s="61"/>
      <c r="KQN2" s="61"/>
      <c r="KQO2" s="61"/>
      <c r="KQP2" s="61"/>
      <c r="KQQ2" s="61"/>
      <c r="KQR2" s="61"/>
      <c r="KQS2" s="61"/>
      <c r="KQT2" s="61"/>
      <c r="KQU2" s="61"/>
      <c r="KQV2" s="61"/>
      <c r="KQW2" s="61"/>
      <c r="KQX2" s="61"/>
      <c r="KQY2" s="61"/>
      <c r="KQZ2" s="61"/>
      <c r="KRA2" s="61"/>
      <c r="KRB2" s="61"/>
      <c r="KRC2" s="61"/>
      <c r="KRD2" s="61"/>
      <c r="KRE2" s="61"/>
      <c r="KRF2" s="61"/>
      <c r="KRG2" s="61"/>
      <c r="KRH2" s="61"/>
      <c r="KRI2" s="61"/>
      <c r="KRJ2" s="61"/>
      <c r="KRK2" s="61"/>
      <c r="KRL2" s="61"/>
      <c r="KRM2" s="61"/>
      <c r="KRN2" s="61"/>
      <c r="KRO2" s="61"/>
      <c r="KRP2" s="61"/>
      <c r="KRQ2" s="61"/>
      <c r="KRR2" s="61"/>
      <c r="KRS2" s="61"/>
      <c r="KRT2" s="61"/>
      <c r="KRU2" s="61"/>
      <c r="KRV2" s="61"/>
      <c r="KRW2" s="61"/>
      <c r="KRX2" s="61"/>
      <c r="KRY2" s="61"/>
      <c r="KRZ2" s="61"/>
      <c r="KSA2" s="61"/>
      <c r="KSB2" s="61"/>
      <c r="KSC2" s="61"/>
      <c r="KSD2" s="61"/>
      <c r="KSE2" s="61"/>
      <c r="KSF2" s="61"/>
      <c r="KSG2" s="61"/>
      <c r="KSH2" s="61"/>
      <c r="KSI2" s="61"/>
      <c r="KSJ2" s="61"/>
      <c r="KSK2" s="61"/>
      <c r="KSL2" s="61"/>
      <c r="KSM2" s="61"/>
      <c r="KSN2" s="61"/>
      <c r="KSO2" s="61"/>
      <c r="KSP2" s="61"/>
      <c r="KSQ2" s="61"/>
      <c r="KSR2" s="61"/>
      <c r="KSS2" s="61"/>
      <c r="KST2" s="61"/>
      <c r="KSU2" s="61"/>
      <c r="KSV2" s="61"/>
      <c r="KSW2" s="61"/>
      <c r="KSX2" s="61"/>
      <c r="KSY2" s="61"/>
      <c r="KSZ2" s="61"/>
      <c r="KTA2" s="61"/>
      <c r="KTB2" s="61"/>
      <c r="KTC2" s="61"/>
      <c r="KTD2" s="61"/>
      <c r="KTE2" s="61"/>
      <c r="KTF2" s="61"/>
      <c r="KTG2" s="61"/>
      <c r="KTH2" s="61"/>
      <c r="KTI2" s="61"/>
      <c r="KTJ2" s="61"/>
      <c r="KTK2" s="61"/>
      <c r="KTL2" s="61"/>
      <c r="KTM2" s="61"/>
      <c r="KTN2" s="61"/>
      <c r="KTO2" s="61"/>
      <c r="KTP2" s="61"/>
      <c r="KTQ2" s="61"/>
      <c r="KTR2" s="61"/>
      <c r="KTS2" s="61"/>
      <c r="KTT2" s="61"/>
      <c r="KTU2" s="61"/>
      <c r="KTV2" s="61"/>
      <c r="KTW2" s="61"/>
      <c r="KTX2" s="61"/>
      <c r="KTY2" s="61"/>
      <c r="KTZ2" s="61"/>
      <c r="KUA2" s="61"/>
      <c r="KUB2" s="61"/>
      <c r="KUC2" s="61"/>
      <c r="KUD2" s="61"/>
      <c r="KUE2" s="61"/>
      <c r="KUF2" s="61"/>
      <c r="KUG2" s="61"/>
      <c r="KUH2" s="61"/>
      <c r="KUI2" s="61"/>
      <c r="KUJ2" s="61"/>
      <c r="KUK2" s="61"/>
      <c r="KUL2" s="61"/>
      <c r="KUM2" s="61"/>
      <c r="KUN2" s="61"/>
      <c r="KUO2" s="61"/>
      <c r="KUP2" s="61"/>
      <c r="KUQ2" s="61"/>
      <c r="KUR2" s="61"/>
      <c r="KUS2" s="61"/>
      <c r="KUT2" s="61"/>
      <c r="KUU2" s="61"/>
      <c r="KUV2" s="61"/>
      <c r="KUW2" s="61"/>
      <c r="KUX2" s="61"/>
      <c r="KUY2" s="61"/>
      <c r="KUZ2" s="61"/>
      <c r="KVA2" s="61"/>
      <c r="KVB2" s="61"/>
      <c r="KVC2" s="61"/>
      <c r="KVD2" s="61"/>
      <c r="KVE2" s="61"/>
      <c r="KVF2" s="61"/>
      <c r="KVG2" s="61"/>
      <c r="KVH2" s="61"/>
      <c r="KVI2" s="61"/>
      <c r="KVJ2" s="61"/>
      <c r="KVK2" s="61"/>
      <c r="KVL2" s="61"/>
      <c r="KVM2" s="61"/>
      <c r="KVN2" s="61"/>
      <c r="KVO2" s="61"/>
      <c r="KVP2" s="61"/>
      <c r="KVQ2" s="61"/>
      <c r="KVR2" s="61"/>
      <c r="KVS2" s="61"/>
      <c r="KVT2" s="61"/>
      <c r="KVU2" s="61"/>
      <c r="KVV2" s="61"/>
      <c r="KVW2" s="61"/>
      <c r="KVX2" s="61"/>
      <c r="KVY2" s="61"/>
      <c r="KVZ2" s="61"/>
      <c r="KWA2" s="61"/>
      <c r="KWB2" s="61"/>
      <c r="KWC2" s="61"/>
      <c r="KWD2" s="61"/>
      <c r="KWE2" s="61"/>
      <c r="KWF2" s="61"/>
      <c r="KWG2" s="61"/>
      <c r="KWH2" s="61"/>
      <c r="KWI2" s="61"/>
      <c r="KWJ2" s="61"/>
      <c r="KWK2" s="61"/>
      <c r="KWL2" s="61"/>
      <c r="KWM2" s="61"/>
      <c r="KWN2" s="61"/>
      <c r="KWO2" s="61"/>
      <c r="KWP2" s="61"/>
      <c r="KWQ2" s="61"/>
      <c r="KWR2" s="61"/>
      <c r="KWS2" s="61"/>
      <c r="KWT2" s="61"/>
      <c r="KWU2" s="61"/>
      <c r="KWV2" s="61"/>
      <c r="KWW2" s="61"/>
      <c r="KWX2" s="61"/>
      <c r="KWY2" s="61"/>
      <c r="KWZ2" s="61"/>
      <c r="KXA2" s="61"/>
      <c r="KXB2" s="61"/>
      <c r="KXC2" s="61"/>
      <c r="KXD2" s="61"/>
      <c r="KXE2" s="61"/>
      <c r="KXF2" s="61"/>
      <c r="KXG2" s="61"/>
      <c r="KXH2" s="61"/>
      <c r="KXI2" s="61"/>
      <c r="KXJ2" s="61"/>
      <c r="KXK2" s="61"/>
      <c r="KXL2" s="61"/>
      <c r="KXM2" s="61"/>
      <c r="KXN2" s="61"/>
      <c r="KXO2" s="61"/>
      <c r="KXP2" s="61"/>
      <c r="KXQ2" s="61"/>
      <c r="KXR2" s="61"/>
      <c r="KXS2" s="61"/>
      <c r="KXT2" s="61"/>
      <c r="KXU2" s="61"/>
      <c r="KXV2" s="61"/>
      <c r="KXW2" s="61"/>
      <c r="KXX2" s="61"/>
      <c r="KXY2" s="61"/>
      <c r="KXZ2" s="61"/>
      <c r="KYA2" s="61"/>
      <c r="KYB2" s="61"/>
      <c r="KYC2" s="61"/>
      <c r="KYD2" s="61"/>
      <c r="KYE2" s="61"/>
      <c r="KYF2" s="61"/>
      <c r="KYG2" s="61"/>
      <c r="KYH2" s="61"/>
      <c r="KYI2" s="61"/>
      <c r="KYJ2" s="61"/>
      <c r="KYK2" s="61"/>
      <c r="KYL2" s="61"/>
      <c r="KYM2" s="61"/>
      <c r="KYN2" s="61"/>
      <c r="KYO2" s="61"/>
      <c r="KYP2" s="61"/>
      <c r="KYQ2" s="61"/>
      <c r="KYR2" s="61"/>
      <c r="KYS2" s="61"/>
      <c r="KYT2" s="61"/>
      <c r="KYU2" s="61"/>
      <c r="KYV2" s="61"/>
      <c r="KYW2" s="61"/>
      <c r="KYX2" s="61"/>
      <c r="KYY2" s="61"/>
      <c r="KYZ2" s="61"/>
      <c r="KZA2" s="61"/>
      <c r="KZB2" s="61"/>
      <c r="KZC2" s="61"/>
      <c r="KZD2" s="61"/>
      <c r="KZE2" s="61"/>
      <c r="KZF2" s="61"/>
      <c r="KZG2" s="61"/>
      <c r="KZH2" s="61"/>
      <c r="KZI2" s="61"/>
      <c r="KZJ2" s="61"/>
      <c r="KZK2" s="61"/>
      <c r="KZL2" s="61"/>
      <c r="KZM2" s="61"/>
      <c r="KZN2" s="61"/>
      <c r="KZO2" s="61"/>
      <c r="KZP2" s="61"/>
      <c r="KZQ2" s="61"/>
      <c r="KZR2" s="61"/>
      <c r="KZS2" s="61"/>
      <c r="KZT2" s="61"/>
      <c r="KZU2" s="61"/>
      <c r="KZV2" s="61"/>
      <c r="KZW2" s="61"/>
      <c r="KZX2" s="61"/>
      <c r="KZY2" s="61"/>
      <c r="KZZ2" s="61"/>
      <c r="LAA2" s="61"/>
      <c r="LAB2" s="61"/>
      <c r="LAC2" s="61"/>
      <c r="LAD2" s="61"/>
      <c r="LAE2" s="61"/>
      <c r="LAF2" s="61"/>
      <c r="LAG2" s="61"/>
      <c r="LAH2" s="61"/>
      <c r="LAI2" s="61"/>
      <c r="LAJ2" s="61"/>
      <c r="LAK2" s="61"/>
      <c r="LAL2" s="61"/>
      <c r="LAM2" s="61"/>
      <c r="LAN2" s="61"/>
      <c r="LAO2" s="61"/>
      <c r="LAP2" s="61"/>
      <c r="LAQ2" s="61"/>
      <c r="LAR2" s="61"/>
      <c r="LAS2" s="61"/>
      <c r="LAT2" s="61"/>
      <c r="LAU2" s="61"/>
      <c r="LAV2" s="61"/>
      <c r="LAW2" s="61"/>
      <c r="LAX2" s="61"/>
      <c r="LAY2" s="61"/>
      <c r="LAZ2" s="61"/>
      <c r="LBA2" s="61"/>
      <c r="LBB2" s="61"/>
      <c r="LBC2" s="61"/>
      <c r="LBD2" s="61"/>
      <c r="LBE2" s="61"/>
      <c r="LBF2" s="61"/>
      <c r="LBG2" s="61"/>
      <c r="LBH2" s="61"/>
      <c r="LBI2" s="61"/>
      <c r="LBJ2" s="61"/>
      <c r="LBK2" s="61"/>
      <c r="LBL2" s="61"/>
      <c r="LBM2" s="61"/>
      <c r="LBN2" s="61"/>
      <c r="LBO2" s="61"/>
      <c r="LBP2" s="61"/>
      <c r="LBQ2" s="61"/>
      <c r="LBR2" s="61"/>
      <c r="LBS2" s="61"/>
      <c r="LBT2" s="61"/>
      <c r="LBU2" s="61"/>
      <c r="LBV2" s="61"/>
      <c r="LBW2" s="61"/>
      <c r="LBX2" s="61"/>
      <c r="LBY2" s="61"/>
      <c r="LBZ2" s="61"/>
      <c r="LCA2" s="61"/>
      <c r="LCB2" s="61"/>
      <c r="LCC2" s="61"/>
      <c r="LCD2" s="61"/>
      <c r="LCE2" s="61"/>
      <c r="LCF2" s="61"/>
      <c r="LCG2" s="61"/>
      <c r="LCH2" s="61"/>
      <c r="LCI2" s="61"/>
      <c r="LCJ2" s="61"/>
      <c r="LCK2" s="61"/>
      <c r="LCL2" s="61"/>
      <c r="LCM2" s="61"/>
      <c r="LCN2" s="61"/>
      <c r="LCO2" s="61"/>
      <c r="LCP2" s="61"/>
      <c r="LCQ2" s="61"/>
      <c r="LCR2" s="61"/>
      <c r="LCS2" s="61"/>
      <c r="LCT2" s="61"/>
      <c r="LCU2" s="61"/>
      <c r="LCV2" s="61"/>
      <c r="LCW2" s="61"/>
      <c r="LCX2" s="61"/>
      <c r="LCY2" s="61"/>
      <c r="LCZ2" s="61"/>
      <c r="LDA2" s="61"/>
      <c r="LDB2" s="61"/>
      <c r="LDC2" s="61"/>
      <c r="LDD2" s="61"/>
      <c r="LDE2" s="61"/>
      <c r="LDF2" s="61"/>
      <c r="LDG2" s="61"/>
      <c r="LDH2" s="61"/>
      <c r="LDI2" s="61"/>
      <c r="LDJ2" s="61"/>
      <c r="LDK2" s="61"/>
      <c r="LDL2" s="61"/>
      <c r="LDM2" s="61"/>
      <c r="LDN2" s="61"/>
      <c r="LDO2" s="61"/>
      <c r="LDP2" s="61"/>
      <c r="LDQ2" s="61"/>
      <c r="LDR2" s="61"/>
      <c r="LDS2" s="61"/>
      <c r="LDT2" s="61"/>
      <c r="LDU2" s="61"/>
      <c r="LDV2" s="61"/>
      <c r="LDW2" s="61"/>
      <c r="LDX2" s="61"/>
      <c r="LDY2" s="61"/>
      <c r="LDZ2" s="61"/>
      <c r="LEA2" s="61"/>
      <c r="LEB2" s="61"/>
      <c r="LEC2" s="61"/>
      <c r="LED2" s="61"/>
      <c r="LEE2" s="61"/>
      <c r="LEF2" s="61"/>
      <c r="LEG2" s="61"/>
      <c r="LEH2" s="61"/>
      <c r="LEI2" s="61"/>
      <c r="LEJ2" s="61"/>
      <c r="LEK2" s="61"/>
      <c r="LEL2" s="61"/>
      <c r="LEM2" s="61"/>
      <c r="LEN2" s="61"/>
      <c r="LEO2" s="61"/>
      <c r="LEP2" s="61"/>
      <c r="LEQ2" s="61"/>
      <c r="LER2" s="61"/>
      <c r="LES2" s="61"/>
      <c r="LET2" s="61"/>
      <c r="LEU2" s="61"/>
      <c r="LEV2" s="61"/>
      <c r="LEW2" s="61"/>
      <c r="LEX2" s="61"/>
      <c r="LEY2" s="61"/>
      <c r="LEZ2" s="61"/>
      <c r="LFA2" s="61"/>
      <c r="LFB2" s="61"/>
      <c r="LFC2" s="61"/>
      <c r="LFD2" s="61"/>
      <c r="LFE2" s="61"/>
      <c r="LFF2" s="61"/>
      <c r="LFG2" s="61"/>
      <c r="LFH2" s="61"/>
      <c r="LFI2" s="61"/>
      <c r="LFJ2" s="61"/>
      <c r="LFK2" s="61"/>
      <c r="LFL2" s="61"/>
      <c r="LFM2" s="61"/>
      <c r="LFN2" s="61"/>
      <c r="LFO2" s="61"/>
      <c r="LFP2" s="61"/>
      <c r="LFQ2" s="61"/>
      <c r="LFR2" s="61"/>
      <c r="LFS2" s="61"/>
      <c r="LFT2" s="61"/>
      <c r="LFU2" s="61"/>
      <c r="LFV2" s="61"/>
      <c r="LFW2" s="61"/>
      <c r="LFX2" s="61"/>
      <c r="LFY2" s="61"/>
      <c r="LFZ2" s="61"/>
      <c r="LGA2" s="61"/>
      <c r="LGB2" s="61"/>
      <c r="LGC2" s="61"/>
      <c r="LGD2" s="61"/>
      <c r="LGE2" s="61"/>
      <c r="LGF2" s="61"/>
      <c r="LGG2" s="61"/>
      <c r="LGH2" s="61"/>
      <c r="LGI2" s="61"/>
      <c r="LGJ2" s="61"/>
      <c r="LGK2" s="61"/>
      <c r="LGL2" s="61"/>
      <c r="LGM2" s="61"/>
      <c r="LGN2" s="61"/>
      <c r="LGO2" s="61"/>
      <c r="LGP2" s="61"/>
      <c r="LGQ2" s="61"/>
      <c r="LGR2" s="61"/>
      <c r="LGS2" s="61"/>
      <c r="LGT2" s="61"/>
      <c r="LGU2" s="61"/>
      <c r="LGV2" s="61"/>
      <c r="LGW2" s="61"/>
      <c r="LGX2" s="61"/>
      <c r="LGY2" s="61"/>
      <c r="LGZ2" s="61"/>
      <c r="LHA2" s="61"/>
      <c r="LHB2" s="61"/>
      <c r="LHC2" s="61"/>
      <c r="LHD2" s="61"/>
      <c r="LHE2" s="61"/>
      <c r="LHF2" s="61"/>
      <c r="LHG2" s="61"/>
      <c r="LHH2" s="61"/>
      <c r="LHI2" s="61"/>
      <c r="LHJ2" s="61"/>
      <c r="LHK2" s="61"/>
      <c r="LHL2" s="61"/>
      <c r="LHM2" s="61"/>
      <c r="LHN2" s="61"/>
      <c r="LHO2" s="61"/>
      <c r="LHP2" s="61"/>
      <c r="LHQ2" s="61"/>
      <c r="LHR2" s="61"/>
      <c r="LHS2" s="61"/>
      <c r="LHT2" s="61"/>
      <c r="LHU2" s="61"/>
      <c r="LHV2" s="61"/>
      <c r="LHW2" s="61"/>
      <c r="LHX2" s="61"/>
      <c r="LHY2" s="61"/>
      <c r="LHZ2" s="61"/>
      <c r="LIA2" s="61"/>
      <c r="LIB2" s="61"/>
      <c r="LIC2" s="61"/>
      <c r="LID2" s="61"/>
      <c r="LIE2" s="61"/>
      <c r="LIF2" s="61"/>
      <c r="LIG2" s="61"/>
      <c r="LIH2" s="61"/>
      <c r="LII2" s="61"/>
      <c r="LIJ2" s="61"/>
      <c r="LIK2" s="61"/>
      <c r="LIL2" s="61"/>
      <c r="LIM2" s="61"/>
      <c r="LIN2" s="61"/>
      <c r="LIO2" s="61"/>
      <c r="LIP2" s="61"/>
      <c r="LIQ2" s="61"/>
      <c r="LIR2" s="61"/>
      <c r="LIS2" s="61"/>
      <c r="LIT2" s="61"/>
      <c r="LIU2" s="61"/>
      <c r="LIV2" s="61"/>
      <c r="LIW2" s="61"/>
      <c r="LIX2" s="61"/>
      <c r="LIY2" s="61"/>
      <c r="LIZ2" s="61"/>
      <c r="LJA2" s="61"/>
      <c r="LJB2" s="61"/>
      <c r="LJC2" s="61"/>
      <c r="LJD2" s="61"/>
      <c r="LJE2" s="61"/>
      <c r="LJF2" s="61"/>
      <c r="LJG2" s="61"/>
      <c r="LJH2" s="61"/>
      <c r="LJI2" s="61"/>
      <c r="LJJ2" s="61"/>
      <c r="LJK2" s="61"/>
      <c r="LJL2" s="61"/>
      <c r="LJM2" s="61"/>
      <c r="LJN2" s="61"/>
      <c r="LJO2" s="61"/>
      <c r="LJP2" s="61"/>
      <c r="LJQ2" s="61"/>
      <c r="LJR2" s="61"/>
      <c r="LJS2" s="61"/>
      <c r="LJT2" s="61"/>
      <c r="LJU2" s="61"/>
      <c r="LJV2" s="61"/>
      <c r="LJW2" s="61"/>
      <c r="LJX2" s="61"/>
      <c r="LJY2" s="61"/>
      <c r="LJZ2" s="61"/>
      <c r="LKA2" s="61"/>
      <c r="LKB2" s="61"/>
      <c r="LKC2" s="61"/>
      <c r="LKD2" s="61"/>
      <c r="LKE2" s="61"/>
      <c r="LKF2" s="61"/>
      <c r="LKG2" s="61"/>
      <c r="LKH2" s="61"/>
      <c r="LKI2" s="61"/>
      <c r="LKJ2" s="61"/>
      <c r="LKK2" s="61"/>
      <c r="LKL2" s="61"/>
      <c r="LKM2" s="61"/>
      <c r="LKN2" s="61"/>
      <c r="LKO2" s="61"/>
      <c r="LKP2" s="61"/>
      <c r="LKQ2" s="61"/>
      <c r="LKR2" s="61"/>
      <c r="LKS2" s="61"/>
      <c r="LKT2" s="61"/>
      <c r="LKU2" s="61"/>
      <c r="LKV2" s="61"/>
      <c r="LKW2" s="61"/>
      <c r="LKX2" s="61"/>
      <c r="LKY2" s="61"/>
      <c r="LKZ2" s="61"/>
      <c r="LLA2" s="61"/>
      <c r="LLB2" s="61"/>
      <c r="LLC2" s="61"/>
      <c r="LLD2" s="61"/>
      <c r="LLE2" s="61"/>
      <c r="LLF2" s="61"/>
      <c r="LLG2" s="61"/>
      <c r="LLH2" s="61"/>
      <c r="LLI2" s="61"/>
      <c r="LLJ2" s="61"/>
      <c r="LLK2" s="61"/>
      <c r="LLL2" s="61"/>
      <c r="LLM2" s="61"/>
      <c r="LLN2" s="61"/>
      <c r="LLO2" s="61"/>
      <c r="LLP2" s="61"/>
      <c r="LLQ2" s="61"/>
      <c r="LLR2" s="61"/>
      <c r="LLS2" s="61"/>
      <c r="LLT2" s="61"/>
      <c r="LLU2" s="61"/>
      <c r="LLV2" s="61"/>
      <c r="LLW2" s="61"/>
      <c r="LLX2" s="61"/>
      <c r="LLY2" s="61"/>
      <c r="LLZ2" s="61"/>
      <c r="LMA2" s="61"/>
      <c r="LMB2" s="61"/>
      <c r="LMC2" s="61"/>
      <c r="LMD2" s="61"/>
      <c r="LME2" s="61"/>
      <c r="LMF2" s="61"/>
      <c r="LMG2" s="61"/>
      <c r="LMH2" s="61"/>
      <c r="LMI2" s="61"/>
      <c r="LMJ2" s="61"/>
      <c r="LMK2" s="61"/>
      <c r="LML2" s="61"/>
      <c r="LMM2" s="61"/>
      <c r="LMN2" s="61"/>
      <c r="LMO2" s="61"/>
      <c r="LMP2" s="61"/>
      <c r="LMQ2" s="61"/>
      <c r="LMR2" s="61"/>
      <c r="LMS2" s="61"/>
      <c r="LMT2" s="61"/>
      <c r="LMU2" s="61"/>
      <c r="LMV2" s="61"/>
      <c r="LMW2" s="61"/>
      <c r="LMX2" s="61"/>
      <c r="LMY2" s="61"/>
      <c r="LMZ2" s="61"/>
      <c r="LNA2" s="61"/>
      <c r="LNB2" s="61"/>
      <c r="LNC2" s="61"/>
      <c r="LND2" s="61"/>
      <c r="LNE2" s="61"/>
      <c r="LNF2" s="61"/>
      <c r="LNG2" s="61"/>
      <c r="LNH2" s="61"/>
      <c r="LNI2" s="61"/>
      <c r="LNJ2" s="61"/>
      <c r="LNK2" s="61"/>
      <c r="LNL2" s="61"/>
      <c r="LNM2" s="61"/>
      <c r="LNN2" s="61"/>
      <c r="LNO2" s="61"/>
      <c r="LNP2" s="61"/>
      <c r="LNQ2" s="61"/>
      <c r="LNR2" s="61"/>
      <c r="LNS2" s="61"/>
      <c r="LNT2" s="61"/>
      <c r="LNU2" s="61"/>
      <c r="LNV2" s="61"/>
      <c r="LNW2" s="61"/>
      <c r="LNX2" s="61"/>
      <c r="LNY2" s="61"/>
      <c r="LNZ2" s="61"/>
      <c r="LOA2" s="61"/>
      <c r="LOB2" s="61"/>
      <c r="LOC2" s="61"/>
      <c r="LOD2" s="61"/>
      <c r="LOE2" s="61"/>
      <c r="LOF2" s="61"/>
      <c r="LOG2" s="61"/>
      <c r="LOH2" s="61"/>
      <c r="LOI2" s="61"/>
      <c r="LOJ2" s="61"/>
      <c r="LOK2" s="61"/>
      <c r="LOL2" s="61"/>
      <c r="LOM2" s="61"/>
      <c r="LON2" s="61"/>
      <c r="LOO2" s="61"/>
      <c r="LOP2" s="61"/>
      <c r="LOQ2" s="61"/>
      <c r="LOR2" s="61"/>
      <c r="LOS2" s="61"/>
      <c r="LOT2" s="61"/>
      <c r="LOU2" s="61"/>
      <c r="LOV2" s="61"/>
      <c r="LOW2" s="61"/>
      <c r="LOX2" s="61"/>
      <c r="LOY2" s="61"/>
      <c r="LOZ2" s="61"/>
      <c r="LPA2" s="61"/>
      <c r="LPB2" s="61"/>
      <c r="LPC2" s="61"/>
      <c r="LPD2" s="61"/>
      <c r="LPE2" s="61"/>
      <c r="LPF2" s="61"/>
      <c r="LPG2" s="61"/>
      <c r="LPH2" s="61"/>
      <c r="LPI2" s="61"/>
      <c r="LPJ2" s="61"/>
      <c r="LPK2" s="61"/>
      <c r="LPL2" s="61"/>
      <c r="LPM2" s="61"/>
      <c r="LPN2" s="61"/>
      <c r="LPO2" s="61"/>
      <c r="LPP2" s="61"/>
      <c r="LPQ2" s="61"/>
      <c r="LPR2" s="61"/>
      <c r="LPS2" s="61"/>
      <c r="LPT2" s="61"/>
      <c r="LPU2" s="61"/>
      <c r="LPV2" s="61"/>
      <c r="LPW2" s="61"/>
      <c r="LPX2" s="61"/>
      <c r="LPY2" s="61"/>
      <c r="LPZ2" s="61"/>
      <c r="LQA2" s="61"/>
      <c r="LQB2" s="61"/>
      <c r="LQC2" s="61"/>
      <c r="LQD2" s="61"/>
      <c r="LQE2" s="61"/>
      <c r="LQF2" s="61"/>
      <c r="LQG2" s="61"/>
      <c r="LQH2" s="61"/>
      <c r="LQI2" s="61"/>
      <c r="LQJ2" s="61"/>
      <c r="LQK2" s="61"/>
      <c r="LQL2" s="61"/>
      <c r="LQM2" s="61"/>
      <c r="LQN2" s="61"/>
      <c r="LQO2" s="61"/>
      <c r="LQP2" s="61"/>
      <c r="LQQ2" s="61"/>
      <c r="LQR2" s="61"/>
      <c r="LQS2" s="61"/>
      <c r="LQT2" s="61"/>
      <c r="LQU2" s="61"/>
      <c r="LQV2" s="61"/>
      <c r="LQW2" s="61"/>
      <c r="LQX2" s="61"/>
      <c r="LQY2" s="61"/>
      <c r="LQZ2" s="61"/>
      <c r="LRA2" s="61"/>
      <c r="LRB2" s="61"/>
      <c r="LRC2" s="61"/>
      <c r="LRD2" s="61"/>
      <c r="LRE2" s="61"/>
      <c r="LRF2" s="61"/>
      <c r="LRG2" s="61"/>
      <c r="LRH2" s="61"/>
      <c r="LRI2" s="61"/>
      <c r="LRJ2" s="61"/>
      <c r="LRK2" s="61"/>
      <c r="LRL2" s="61"/>
      <c r="LRM2" s="61"/>
      <c r="LRN2" s="61"/>
      <c r="LRO2" s="61"/>
      <c r="LRP2" s="61"/>
      <c r="LRQ2" s="61"/>
      <c r="LRR2" s="61"/>
      <c r="LRS2" s="61"/>
      <c r="LRT2" s="61"/>
      <c r="LRU2" s="61"/>
      <c r="LRV2" s="61"/>
      <c r="LRW2" s="61"/>
      <c r="LRX2" s="61"/>
      <c r="LRY2" s="61"/>
      <c r="LRZ2" s="61"/>
      <c r="LSA2" s="61"/>
      <c r="LSB2" s="61"/>
      <c r="LSC2" s="61"/>
      <c r="LSD2" s="61"/>
      <c r="LSE2" s="61"/>
      <c r="LSF2" s="61"/>
      <c r="LSG2" s="61"/>
      <c r="LSH2" s="61"/>
      <c r="LSI2" s="61"/>
      <c r="LSJ2" s="61"/>
      <c r="LSK2" s="61"/>
      <c r="LSL2" s="61"/>
      <c r="LSM2" s="61"/>
      <c r="LSN2" s="61"/>
      <c r="LSO2" s="61"/>
      <c r="LSP2" s="61"/>
      <c r="LSQ2" s="61"/>
      <c r="LSR2" s="61"/>
      <c r="LSS2" s="61"/>
      <c r="LST2" s="61"/>
      <c r="LSU2" s="61"/>
      <c r="LSV2" s="61"/>
      <c r="LSW2" s="61"/>
      <c r="LSX2" s="61"/>
      <c r="LSY2" s="61"/>
      <c r="LSZ2" s="61"/>
      <c r="LTA2" s="61"/>
      <c r="LTB2" s="61"/>
      <c r="LTC2" s="61"/>
      <c r="LTD2" s="61"/>
      <c r="LTE2" s="61"/>
      <c r="LTF2" s="61"/>
      <c r="LTG2" s="61"/>
      <c r="LTH2" s="61"/>
      <c r="LTI2" s="61"/>
      <c r="LTJ2" s="61"/>
      <c r="LTK2" s="61"/>
      <c r="LTL2" s="61"/>
      <c r="LTM2" s="61"/>
      <c r="LTN2" s="61"/>
      <c r="LTO2" s="61"/>
      <c r="LTP2" s="61"/>
      <c r="LTQ2" s="61"/>
      <c r="LTR2" s="61"/>
      <c r="LTS2" s="61"/>
      <c r="LTT2" s="61"/>
      <c r="LTU2" s="61"/>
      <c r="LTV2" s="61"/>
      <c r="LTW2" s="61"/>
      <c r="LTX2" s="61"/>
      <c r="LTY2" s="61"/>
      <c r="LTZ2" s="61"/>
      <c r="LUA2" s="61"/>
      <c r="LUB2" s="61"/>
      <c r="LUC2" s="61"/>
      <c r="LUD2" s="61"/>
      <c r="LUE2" s="61"/>
      <c r="LUF2" s="61"/>
      <c r="LUG2" s="61"/>
      <c r="LUH2" s="61"/>
      <c r="LUI2" s="61"/>
      <c r="LUJ2" s="61"/>
      <c r="LUK2" s="61"/>
      <c r="LUL2" s="61"/>
      <c r="LUM2" s="61"/>
      <c r="LUN2" s="61"/>
      <c r="LUO2" s="61"/>
      <c r="LUP2" s="61"/>
      <c r="LUQ2" s="61"/>
      <c r="LUR2" s="61"/>
      <c r="LUS2" s="61"/>
      <c r="LUT2" s="61"/>
      <c r="LUU2" s="61"/>
      <c r="LUV2" s="61"/>
      <c r="LUW2" s="61"/>
      <c r="LUX2" s="61"/>
      <c r="LUY2" s="61"/>
      <c r="LUZ2" s="61"/>
      <c r="LVA2" s="61"/>
      <c r="LVB2" s="61"/>
      <c r="LVC2" s="61"/>
      <c r="LVD2" s="61"/>
      <c r="LVE2" s="61"/>
      <c r="LVF2" s="61"/>
      <c r="LVG2" s="61"/>
      <c r="LVH2" s="61"/>
      <c r="LVI2" s="61"/>
      <c r="LVJ2" s="61"/>
      <c r="LVK2" s="61"/>
      <c r="LVL2" s="61"/>
      <c r="LVM2" s="61"/>
      <c r="LVN2" s="61"/>
      <c r="LVO2" s="61"/>
      <c r="LVP2" s="61"/>
      <c r="LVQ2" s="61"/>
      <c r="LVR2" s="61"/>
      <c r="LVS2" s="61"/>
      <c r="LVT2" s="61"/>
      <c r="LVU2" s="61"/>
      <c r="LVV2" s="61"/>
      <c r="LVW2" s="61"/>
      <c r="LVX2" s="61"/>
      <c r="LVY2" s="61"/>
      <c r="LVZ2" s="61"/>
      <c r="LWA2" s="61"/>
      <c r="LWB2" s="61"/>
      <c r="LWC2" s="61"/>
      <c r="LWD2" s="61"/>
      <c r="LWE2" s="61"/>
      <c r="LWF2" s="61"/>
      <c r="LWG2" s="61"/>
      <c r="LWH2" s="61"/>
      <c r="LWI2" s="61"/>
      <c r="LWJ2" s="61"/>
      <c r="LWK2" s="61"/>
      <c r="LWL2" s="61"/>
      <c r="LWM2" s="61"/>
      <c r="LWN2" s="61"/>
      <c r="LWO2" s="61"/>
      <c r="LWP2" s="61"/>
      <c r="LWQ2" s="61"/>
      <c r="LWR2" s="61"/>
      <c r="LWS2" s="61"/>
      <c r="LWT2" s="61"/>
      <c r="LWU2" s="61"/>
      <c r="LWV2" s="61"/>
      <c r="LWW2" s="61"/>
      <c r="LWX2" s="61"/>
      <c r="LWY2" s="61"/>
      <c r="LWZ2" s="61"/>
      <c r="LXA2" s="61"/>
      <c r="LXB2" s="61"/>
      <c r="LXC2" s="61"/>
      <c r="LXD2" s="61"/>
      <c r="LXE2" s="61"/>
      <c r="LXF2" s="61"/>
      <c r="LXG2" s="61"/>
      <c r="LXH2" s="61"/>
      <c r="LXI2" s="61"/>
      <c r="LXJ2" s="61"/>
      <c r="LXK2" s="61"/>
      <c r="LXL2" s="61"/>
      <c r="LXM2" s="61"/>
      <c r="LXN2" s="61"/>
      <c r="LXO2" s="61"/>
      <c r="LXP2" s="61"/>
      <c r="LXQ2" s="61"/>
      <c r="LXR2" s="61"/>
      <c r="LXS2" s="61"/>
      <c r="LXT2" s="61"/>
      <c r="LXU2" s="61"/>
      <c r="LXV2" s="61"/>
      <c r="LXW2" s="61"/>
      <c r="LXX2" s="61"/>
      <c r="LXY2" s="61"/>
      <c r="LXZ2" s="61"/>
      <c r="LYA2" s="61"/>
      <c r="LYB2" s="61"/>
      <c r="LYC2" s="61"/>
      <c r="LYD2" s="61"/>
      <c r="LYE2" s="61"/>
      <c r="LYF2" s="61"/>
      <c r="LYG2" s="61"/>
      <c r="LYH2" s="61"/>
      <c r="LYI2" s="61"/>
      <c r="LYJ2" s="61"/>
      <c r="LYK2" s="61"/>
      <c r="LYL2" s="61"/>
      <c r="LYM2" s="61"/>
      <c r="LYN2" s="61"/>
      <c r="LYO2" s="61"/>
      <c r="LYP2" s="61"/>
      <c r="LYQ2" s="61"/>
      <c r="LYR2" s="61"/>
      <c r="LYS2" s="61"/>
      <c r="LYT2" s="61"/>
      <c r="LYU2" s="61"/>
      <c r="LYV2" s="61"/>
      <c r="LYW2" s="61"/>
      <c r="LYX2" s="61"/>
      <c r="LYY2" s="61"/>
      <c r="LYZ2" s="61"/>
      <c r="LZA2" s="61"/>
      <c r="LZB2" s="61"/>
      <c r="LZC2" s="61"/>
      <c r="LZD2" s="61"/>
      <c r="LZE2" s="61"/>
      <c r="LZF2" s="61"/>
      <c r="LZG2" s="61"/>
      <c r="LZH2" s="61"/>
      <c r="LZI2" s="61"/>
      <c r="LZJ2" s="61"/>
      <c r="LZK2" s="61"/>
      <c r="LZL2" s="61"/>
      <c r="LZM2" s="61"/>
      <c r="LZN2" s="61"/>
      <c r="LZO2" s="61"/>
      <c r="LZP2" s="61"/>
      <c r="LZQ2" s="61"/>
      <c r="LZR2" s="61"/>
      <c r="LZS2" s="61"/>
      <c r="LZT2" s="61"/>
      <c r="LZU2" s="61"/>
      <c r="LZV2" s="61"/>
      <c r="LZW2" s="61"/>
      <c r="LZX2" s="61"/>
      <c r="LZY2" s="61"/>
      <c r="LZZ2" s="61"/>
      <c r="MAA2" s="61"/>
      <c r="MAB2" s="61"/>
      <c r="MAC2" s="61"/>
      <c r="MAD2" s="61"/>
      <c r="MAE2" s="61"/>
      <c r="MAF2" s="61"/>
      <c r="MAG2" s="61"/>
      <c r="MAH2" s="61"/>
      <c r="MAI2" s="61"/>
      <c r="MAJ2" s="61"/>
      <c r="MAK2" s="61"/>
      <c r="MAL2" s="61"/>
      <c r="MAM2" s="61"/>
      <c r="MAN2" s="61"/>
      <c r="MAO2" s="61"/>
      <c r="MAP2" s="61"/>
      <c r="MAQ2" s="61"/>
      <c r="MAR2" s="61"/>
      <c r="MAS2" s="61"/>
      <c r="MAT2" s="61"/>
      <c r="MAU2" s="61"/>
      <c r="MAV2" s="61"/>
      <c r="MAW2" s="61"/>
      <c r="MAX2" s="61"/>
      <c r="MAY2" s="61"/>
      <c r="MAZ2" s="61"/>
      <c r="MBA2" s="61"/>
      <c r="MBB2" s="61"/>
      <c r="MBC2" s="61"/>
      <c r="MBD2" s="61"/>
      <c r="MBE2" s="61"/>
      <c r="MBF2" s="61"/>
      <c r="MBG2" s="61"/>
      <c r="MBH2" s="61"/>
      <c r="MBI2" s="61"/>
      <c r="MBJ2" s="61"/>
      <c r="MBK2" s="61"/>
      <c r="MBL2" s="61"/>
      <c r="MBM2" s="61"/>
      <c r="MBN2" s="61"/>
      <c r="MBO2" s="61"/>
      <c r="MBP2" s="61"/>
      <c r="MBQ2" s="61"/>
      <c r="MBR2" s="61"/>
      <c r="MBS2" s="61"/>
      <c r="MBT2" s="61"/>
      <c r="MBU2" s="61"/>
      <c r="MBV2" s="61"/>
      <c r="MBW2" s="61"/>
      <c r="MBX2" s="61"/>
      <c r="MBY2" s="61"/>
      <c r="MBZ2" s="61"/>
      <c r="MCA2" s="61"/>
      <c r="MCB2" s="61"/>
      <c r="MCC2" s="61"/>
      <c r="MCD2" s="61"/>
      <c r="MCE2" s="61"/>
      <c r="MCF2" s="61"/>
      <c r="MCG2" s="61"/>
      <c r="MCH2" s="61"/>
      <c r="MCI2" s="61"/>
      <c r="MCJ2" s="61"/>
      <c r="MCK2" s="61"/>
      <c r="MCL2" s="61"/>
      <c r="MCM2" s="61"/>
      <c r="MCN2" s="61"/>
      <c r="MCO2" s="61"/>
      <c r="MCP2" s="61"/>
      <c r="MCQ2" s="61"/>
      <c r="MCR2" s="61"/>
      <c r="MCS2" s="61"/>
      <c r="MCT2" s="61"/>
      <c r="MCU2" s="61"/>
      <c r="MCV2" s="61"/>
      <c r="MCW2" s="61"/>
      <c r="MCX2" s="61"/>
      <c r="MCY2" s="61"/>
      <c r="MCZ2" s="61"/>
      <c r="MDA2" s="61"/>
      <c r="MDB2" s="61"/>
      <c r="MDC2" s="61"/>
      <c r="MDD2" s="61"/>
      <c r="MDE2" s="61"/>
      <c r="MDF2" s="61"/>
      <c r="MDG2" s="61"/>
      <c r="MDH2" s="61"/>
      <c r="MDI2" s="61"/>
      <c r="MDJ2" s="61"/>
      <c r="MDK2" s="61"/>
      <c r="MDL2" s="61"/>
      <c r="MDM2" s="61"/>
      <c r="MDN2" s="61"/>
      <c r="MDO2" s="61"/>
      <c r="MDP2" s="61"/>
      <c r="MDQ2" s="61"/>
      <c r="MDR2" s="61"/>
      <c r="MDS2" s="61"/>
      <c r="MDT2" s="61"/>
      <c r="MDU2" s="61"/>
      <c r="MDV2" s="61"/>
      <c r="MDW2" s="61"/>
      <c r="MDX2" s="61"/>
      <c r="MDY2" s="61"/>
      <c r="MDZ2" s="61"/>
      <c r="MEA2" s="61"/>
      <c r="MEB2" s="61"/>
      <c r="MEC2" s="61"/>
      <c r="MED2" s="61"/>
      <c r="MEE2" s="61"/>
      <c r="MEF2" s="61"/>
      <c r="MEG2" s="61"/>
      <c r="MEH2" s="61"/>
      <c r="MEI2" s="61"/>
      <c r="MEJ2" s="61"/>
      <c r="MEK2" s="61"/>
      <c r="MEL2" s="61"/>
      <c r="MEM2" s="61"/>
      <c r="MEN2" s="61"/>
      <c r="MEO2" s="61"/>
      <c r="MEP2" s="61"/>
      <c r="MEQ2" s="61"/>
      <c r="MER2" s="61"/>
      <c r="MES2" s="61"/>
      <c r="MET2" s="61"/>
      <c r="MEU2" s="61"/>
      <c r="MEV2" s="61"/>
      <c r="MEW2" s="61"/>
      <c r="MEX2" s="61"/>
      <c r="MEY2" s="61"/>
      <c r="MEZ2" s="61"/>
      <c r="MFA2" s="61"/>
      <c r="MFB2" s="61"/>
      <c r="MFC2" s="61"/>
      <c r="MFD2" s="61"/>
      <c r="MFE2" s="61"/>
      <c r="MFF2" s="61"/>
      <c r="MFG2" s="61"/>
      <c r="MFH2" s="61"/>
      <c r="MFI2" s="61"/>
      <c r="MFJ2" s="61"/>
      <c r="MFK2" s="61"/>
      <c r="MFL2" s="61"/>
      <c r="MFM2" s="61"/>
      <c r="MFN2" s="61"/>
      <c r="MFO2" s="61"/>
      <c r="MFP2" s="61"/>
      <c r="MFQ2" s="61"/>
      <c r="MFR2" s="61"/>
      <c r="MFS2" s="61"/>
      <c r="MFT2" s="61"/>
      <c r="MFU2" s="61"/>
      <c r="MFV2" s="61"/>
      <c r="MFW2" s="61"/>
      <c r="MFX2" s="61"/>
      <c r="MFY2" s="61"/>
      <c r="MFZ2" s="61"/>
      <c r="MGA2" s="61"/>
      <c r="MGB2" s="61"/>
      <c r="MGC2" s="61"/>
      <c r="MGD2" s="61"/>
      <c r="MGE2" s="61"/>
      <c r="MGF2" s="61"/>
      <c r="MGG2" s="61"/>
      <c r="MGH2" s="61"/>
      <c r="MGI2" s="61"/>
      <c r="MGJ2" s="61"/>
      <c r="MGK2" s="61"/>
      <c r="MGL2" s="61"/>
      <c r="MGM2" s="61"/>
      <c r="MGN2" s="61"/>
      <c r="MGO2" s="61"/>
      <c r="MGP2" s="61"/>
      <c r="MGQ2" s="61"/>
      <c r="MGR2" s="61"/>
      <c r="MGS2" s="61"/>
      <c r="MGT2" s="61"/>
      <c r="MGU2" s="61"/>
      <c r="MGV2" s="61"/>
      <c r="MGW2" s="61"/>
      <c r="MGX2" s="61"/>
      <c r="MGY2" s="61"/>
      <c r="MGZ2" s="61"/>
      <c r="MHA2" s="61"/>
      <c r="MHB2" s="61"/>
      <c r="MHC2" s="61"/>
      <c r="MHD2" s="61"/>
      <c r="MHE2" s="61"/>
      <c r="MHF2" s="61"/>
      <c r="MHG2" s="61"/>
      <c r="MHH2" s="61"/>
      <c r="MHI2" s="61"/>
      <c r="MHJ2" s="61"/>
      <c r="MHK2" s="61"/>
      <c r="MHL2" s="61"/>
      <c r="MHM2" s="61"/>
      <c r="MHN2" s="61"/>
      <c r="MHO2" s="61"/>
      <c r="MHP2" s="61"/>
      <c r="MHQ2" s="61"/>
      <c r="MHR2" s="61"/>
      <c r="MHS2" s="61"/>
      <c r="MHT2" s="61"/>
      <c r="MHU2" s="61"/>
      <c r="MHV2" s="61"/>
      <c r="MHW2" s="61"/>
      <c r="MHX2" s="61"/>
      <c r="MHY2" s="61"/>
      <c r="MHZ2" s="61"/>
      <c r="MIA2" s="61"/>
      <c r="MIB2" s="61"/>
      <c r="MIC2" s="61"/>
      <c r="MID2" s="61"/>
      <c r="MIE2" s="61"/>
      <c r="MIF2" s="61"/>
      <c r="MIG2" s="61"/>
      <c r="MIH2" s="61"/>
      <c r="MII2" s="61"/>
      <c r="MIJ2" s="61"/>
      <c r="MIK2" s="61"/>
      <c r="MIL2" s="61"/>
      <c r="MIM2" s="61"/>
      <c r="MIN2" s="61"/>
      <c r="MIO2" s="61"/>
      <c r="MIP2" s="61"/>
      <c r="MIQ2" s="61"/>
      <c r="MIR2" s="61"/>
      <c r="MIS2" s="61"/>
      <c r="MIT2" s="61"/>
      <c r="MIU2" s="61"/>
      <c r="MIV2" s="61"/>
      <c r="MIW2" s="61"/>
      <c r="MIX2" s="61"/>
      <c r="MIY2" s="61"/>
      <c r="MIZ2" s="61"/>
      <c r="MJA2" s="61"/>
      <c r="MJB2" s="61"/>
      <c r="MJC2" s="61"/>
      <c r="MJD2" s="61"/>
      <c r="MJE2" s="61"/>
      <c r="MJF2" s="61"/>
      <c r="MJG2" s="61"/>
      <c r="MJH2" s="61"/>
      <c r="MJI2" s="61"/>
      <c r="MJJ2" s="61"/>
      <c r="MJK2" s="61"/>
      <c r="MJL2" s="61"/>
      <c r="MJM2" s="61"/>
      <c r="MJN2" s="61"/>
      <c r="MJO2" s="61"/>
      <c r="MJP2" s="61"/>
      <c r="MJQ2" s="61"/>
      <c r="MJR2" s="61"/>
      <c r="MJS2" s="61"/>
      <c r="MJT2" s="61"/>
      <c r="MJU2" s="61"/>
      <c r="MJV2" s="61"/>
      <c r="MJW2" s="61"/>
      <c r="MJX2" s="61"/>
      <c r="MJY2" s="61"/>
      <c r="MJZ2" s="61"/>
      <c r="MKA2" s="61"/>
      <c r="MKB2" s="61"/>
      <c r="MKC2" s="61"/>
      <c r="MKD2" s="61"/>
      <c r="MKE2" s="61"/>
      <c r="MKF2" s="61"/>
      <c r="MKG2" s="61"/>
      <c r="MKH2" s="61"/>
      <c r="MKI2" s="61"/>
      <c r="MKJ2" s="61"/>
      <c r="MKK2" s="61"/>
      <c r="MKL2" s="61"/>
      <c r="MKM2" s="61"/>
      <c r="MKN2" s="61"/>
      <c r="MKO2" s="61"/>
      <c r="MKP2" s="61"/>
      <c r="MKQ2" s="61"/>
      <c r="MKR2" s="61"/>
      <c r="MKS2" s="61"/>
      <c r="MKT2" s="61"/>
      <c r="MKU2" s="61"/>
      <c r="MKV2" s="61"/>
      <c r="MKW2" s="61"/>
      <c r="MKX2" s="61"/>
      <c r="MKY2" s="61"/>
      <c r="MKZ2" s="61"/>
      <c r="MLA2" s="61"/>
      <c r="MLB2" s="61"/>
      <c r="MLC2" s="61"/>
      <c r="MLD2" s="61"/>
      <c r="MLE2" s="61"/>
      <c r="MLF2" s="61"/>
      <c r="MLG2" s="61"/>
      <c r="MLH2" s="61"/>
      <c r="MLI2" s="61"/>
      <c r="MLJ2" s="61"/>
      <c r="MLK2" s="61"/>
      <c r="MLL2" s="61"/>
      <c r="MLM2" s="61"/>
      <c r="MLN2" s="61"/>
      <c r="MLO2" s="61"/>
      <c r="MLP2" s="61"/>
      <c r="MLQ2" s="61"/>
      <c r="MLR2" s="61"/>
      <c r="MLS2" s="61"/>
      <c r="MLT2" s="61"/>
      <c r="MLU2" s="61"/>
      <c r="MLV2" s="61"/>
      <c r="MLW2" s="61"/>
      <c r="MLX2" s="61"/>
      <c r="MLY2" s="61"/>
      <c r="MLZ2" s="61"/>
      <c r="MMA2" s="61"/>
      <c r="MMB2" s="61"/>
      <c r="MMC2" s="61"/>
      <c r="MMD2" s="61"/>
      <c r="MME2" s="61"/>
      <c r="MMF2" s="61"/>
      <c r="MMG2" s="61"/>
      <c r="MMH2" s="61"/>
      <c r="MMI2" s="61"/>
      <c r="MMJ2" s="61"/>
      <c r="MMK2" s="61"/>
      <c r="MML2" s="61"/>
      <c r="MMM2" s="61"/>
      <c r="MMN2" s="61"/>
      <c r="MMO2" s="61"/>
      <c r="MMP2" s="61"/>
      <c r="MMQ2" s="61"/>
      <c r="MMR2" s="61"/>
      <c r="MMS2" s="61"/>
      <c r="MMT2" s="61"/>
      <c r="MMU2" s="61"/>
      <c r="MMV2" s="61"/>
      <c r="MMW2" s="61"/>
      <c r="MMX2" s="61"/>
      <c r="MMY2" s="61"/>
      <c r="MMZ2" s="61"/>
      <c r="MNA2" s="61"/>
      <c r="MNB2" s="61"/>
      <c r="MNC2" s="61"/>
      <c r="MND2" s="61"/>
      <c r="MNE2" s="61"/>
      <c r="MNF2" s="61"/>
      <c r="MNG2" s="61"/>
      <c r="MNH2" s="61"/>
      <c r="MNI2" s="61"/>
      <c r="MNJ2" s="61"/>
      <c r="MNK2" s="61"/>
      <c r="MNL2" s="61"/>
      <c r="MNM2" s="61"/>
      <c r="MNN2" s="61"/>
      <c r="MNO2" s="61"/>
      <c r="MNP2" s="61"/>
      <c r="MNQ2" s="61"/>
      <c r="MNR2" s="61"/>
      <c r="MNS2" s="61"/>
      <c r="MNT2" s="61"/>
      <c r="MNU2" s="61"/>
      <c r="MNV2" s="61"/>
      <c r="MNW2" s="61"/>
      <c r="MNX2" s="61"/>
      <c r="MNY2" s="61"/>
      <c r="MNZ2" s="61"/>
      <c r="MOA2" s="61"/>
      <c r="MOB2" s="61"/>
      <c r="MOC2" s="61"/>
      <c r="MOD2" s="61"/>
      <c r="MOE2" s="61"/>
      <c r="MOF2" s="61"/>
      <c r="MOG2" s="61"/>
      <c r="MOH2" s="61"/>
      <c r="MOI2" s="61"/>
      <c r="MOJ2" s="61"/>
      <c r="MOK2" s="61"/>
      <c r="MOL2" s="61"/>
      <c r="MOM2" s="61"/>
      <c r="MON2" s="61"/>
      <c r="MOO2" s="61"/>
      <c r="MOP2" s="61"/>
      <c r="MOQ2" s="61"/>
      <c r="MOR2" s="61"/>
      <c r="MOS2" s="61"/>
      <c r="MOT2" s="61"/>
      <c r="MOU2" s="61"/>
      <c r="MOV2" s="61"/>
      <c r="MOW2" s="61"/>
      <c r="MOX2" s="61"/>
      <c r="MOY2" s="61"/>
      <c r="MOZ2" s="61"/>
      <c r="MPA2" s="61"/>
      <c r="MPB2" s="61"/>
      <c r="MPC2" s="61"/>
      <c r="MPD2" s="61"/>
      <c r="MPE2" s="61"/>
      <c r="MPF2" s="61"/>
      <c r="MPG2" s="61"/>
      <c r="MPH2" s="61"/>
      <c r="MPI2" s="61"/>
      <c r="MPJ2" s="61"/>
      <c r="MPK2" s="61"/>
      <c r="MPL2" s="61"/>
      <c r="MPM2" s="61"/>
      <c r="MPN2" s="61"/>
      <c r="MPO2" s="61"/>
      <c r="MPP2" s="61"/>
      <c r="MPQ2" s="61"/>
      <c r="MPR2" s="61"/>
      <c r="MPS2" s="61"/>
      <c r="MPT2" s="61"/>
      <c r="MPU2" s="61"/>
      <c r="MPV2" s="61"/>
      <c r="MPW2" s="61"/>
      <c r="MPX2" s="61"/>
      <c r="MPY2" s="61"/>
      <c r="MPZ2" s="61"/>
      <c r="MQA2" s="61"/>
      <c r="MQB2" s="61"/>
      <c r="MQC2" s="61"/>
      <c r="MQD2" s="61"/>
      <c r="MQE2" s="61"/>
      <c r="MQF2" s="61"/>
      <c r="MQG2" s="61"/>
      <c r="MQH2" s="61"/>
      <c r="MQI2" s="61"/>
      <c r="MQJ2" s="61"/>
      <c r="MQK2" s="61"/>
      <c r="MQL2" s="61"/>
      <c r="MQM2" s="61"/>
      <c r="MQN2" s="61"/>
      <c r="MQO2" s="61"/>
      <c r="MQP2" s="61"/>
      <c r="MQQ2" s="61"/>
      <c r="MQR2" s="61"/>
      <c r="MQS2" s="61"/>
      <c r="MQT2" s="61"/>
      <c r="MQU2" s="61"/>
      <c r="MQV2" s="61"/>
      <c r="MQW2" s="61"/>
      <c r="MQX2" s="61"/>
      <c r="MQY2" s="61"/>
      <c r="MQZ2" s="61"/>
      <c r="MRA2" s="61"/>
      <c r="MRB2" s="61"/>
      <c r="MRC2" s="61"/>
      <c r="MRD2" s="61"/>
      <c r="MRE2" s="61"/>
      <c r="MRF2" s="61"/>
      <c r="MRG2" s="61"/>
      <c r="MRH2" s="61"/>
      <c r="MRI2" s="61"/>
      <c r="MRJ2" s="61"/>
      <c r="MRK2" s="61"/>
      <c r="MRL2" s="61"/>
      <c r="MRM2" s="61"/>
      <c r="MRN2" s="61"/>
      <c r="MRO2" s="61"/>
      <c r="MRP2" s="61"/>
      <c r="MRQ2" s="61"/>
      <c r="MRR2" s="61"/>
      <c r="MRS2" s="61"/>
      <c r="MRT2" s="61"/>
      <c r="MRU2" s="61"/>
      <c r="MRV2" s="61"/>
      <c r="MRW2" s="61"/>
      <c r="MRX2" s="61"/>
      <c r="MRY2" s="61"/>
      <c r="MRZ2" s="61"/>
      <c r="MSA2" s="61"/>
      <c r="MSB2" s="61"/>
      <c r="MSC2" s="61"/>
      <c r="MSD2" s="61"/>
      <c r="MSE2" s="61"/>
      <c r="MSF2" s="61"/>
      <c r="MSG2" s="61"/>
      <c r="MSH2" s="61"/>
      <c r="MSI2" s="61"/>
      <c r="MSJ2" s="61"/>
      <c r="MSK2" s="61"/>
      <c r="MSL2" s="61"/>
      <c r="MSM2" s="61"/>
      <c r="MSN2" s="61"/>
      <c r="MSO2" s="61"/>
      <c r="MSP2" s="61"/>
      <c r="MSQ2" s="61"/>
      <c r="MSR2" s="61"/>
      <c r="MSS2" s="61"/>
      <c r="MST2" s="61"/>
      <c r="MSU2" s="61"/>
      <c r="MSV2" s="61"/>
      <c r="MSW2" s="61"/>
      <c r="MSX2" s="61"/>
      <c r="MSY2" s="61"/>
      <c r="MSZ2" s="61"/>
      <c r="MTA2" s="61"/>
      <c r="MTB2" s="61"/>
      <c r="MTC2" s="61"/>
      <c r="MTD2" s="61"/>
      <c r="MTE2" s="61"/>
      <c r="MTF2" s="61"/>
      <c r="MTG2" s="61"/>
      <c r="MTH2" s="61"/>
      <c r="MTI2" s="61"/>
      <c r="MTJ2" s="61"/>
      <c r="MTK2" s="61"/>
      <c r="MTL2" s="61"/>
      <c r="MTM2" s="61"/>
      <c r="MTN2" s="61"/>
      <c r="MTO2" s="61"/>
      <c r="MTP2" s="61"/>
      <c r="MTQ2" s="61"/>
      <c r="MTR2" s="61"/>
      <c r="MTS2" s="61"/>
      <c r="MTT2" s="61"/>
      <c r="MTU2" s="61"/>
      <c r="MTV2" s="61"/>
      <c r="MTW2" s="61"/>
      <c r="MTX2" s="61"/>
      <c r="MTY2" s="61"/>
      <c r="MTZ2" s="61"/>
      <c r="MUA2" s="61"/>
      <c r="MUB2" s="61"/>
      <c r="MUC2" s="61"/>
      <c r="MUD2" s="61"/>
      <c r="MUE2" s="61"/>
      <c r="MUF2" s="61"/>
      <c r="MUG2" s="61"/>
      <c r="MUH2" s="61"/>
      <c r="MUI2" s="61"/>
      <c r="MUJ2" s="61"/>
      <c r="MUK2" s="61"/>
      <c r="MUL2" s="61"/>
      <c r="MUM2" s="61"/>
      <c r="MUN2" s="61"/>
      <c r="MUO2" s="61"/>
      <c r="MUP2" s="61"/>
      <c r="MUQ2" s="61"/>
      <c r="MUR2" s="61"/>
      <c r="MUS2" s="61"/>
      <c r="MUT2" s="61"/>
      <c r="MUU2" s="61"/>
      <c r="MUV2" s="61"/>
      <c r="MUW2" s="61"/>
      <c r="MUX2" s="61"/>
      <c r="MUY2" s="61"/>
      <c r="MUZ2" s="61"/>
      <c r="MVA2" s="61"/>
      <c r="MVB2" s="61"/>
      <c r="MVC2" s="61"/>
      <c r="MVD2" s="61"/>
      <c r="MVE2" s="61"/>
      <c r="MVF2" s="61"/>
      <c r="MVG2" s="61"/>
      <c r="MVH2" s="61"/>
      <c r="MVI2" s="61"/>
      <c r="MVJ2" s="61"/>
      <c r="MVK2" s="61"/>
      <c r="MVL2" s="61"/>
      <c r="MVM2" s="61"/>
      <c r="MVN2" s="61"/>
      <c r="MVO2" s="61"/>
      <c r="MVP2" s="61"/>
      <c r="MVQ2" s="61"/>
      <c r="MVR2" s="61"/>
      <c r="MVS2" s="61"/>
      <c r="MVT2" s="61"/>
      <c r="MVU2" s="61"/>
      <c r="MVV2" s="61"/>
      <c r="MVW2" s="61"/>
      <c r="MVX2" s="61"/>
      <c r="MVY2" s="61"/>
      <c r="MVZ2" s="61"/>
      <c r="MWA2" s="61"/>
      <c r="MWB2" s="61"/>
      <c r="MWC2" s="61"/>
      <c r="MWD2" s="61"/>
      <c r="MWE2" s="61"/>
      <c r="MWF2" s="61"/>
      <c r="MWG2" s="61"/>
      <c r="MWH2" s="61"/>
      <c r="MWI2" s="61"/>
      <c r="MWJ2" s="61"/>
      <c r="MWK2" s="61"/>
      <c r="MWL2" s="61"/>
      <c r="MWM2" s="61"/>
      <c r="MWN2" s="61"/>
      <c r="MWO2" s="61"/>
      <c r="MWP2" s="61"/>
      <c r="MWQ2" s="61"/>
      <c r="MWR2" s="61"/>
      <c r="MWS2" s="61"/>
      <c r="MWT2" s="61"/>
      <c r="MWU2" s="61"/>
      <c r="MWV2" s="61"/>
      <c r="MWW2" s="61"/>
      <c r="MWX2" s="61"/>
      <c r="MWY2" s="61"/>
      <c r="MWZ2" s="61"/>
      <c r="MXA2" s="61"/>
      <c r="MXB2" s="61"/>
      <c r="MXC2" s="61"/>
      <c r="MXD2" s="61"/>
      <c r="MXE2" s="61"/>
      <c r="MXF2" s="61"/>
      <c r="MXG2" s="61"/>
      <c r="MXH2" s="61"/>
      <c r="MXI2" s="61"/>
      <c r="MXJ2" s="61"/>
      <c r="MXK2" s="61"/>
      <c r="MXL2" s="61"/>
      <c r="MXM2" s="61"/>
      <c r="MXN2" s="61"/>
      <c r="MXO2" s="61"/>
      <c r="MXP2" s="61"/>
      <c r="MXQ2" s="61"/>
      <c r="MXR2" s="61"/>
      <c r="MXS2" s="61"/>
      <c r="MXT2" s="61"/>
      <c r="MXU2" s="61"/>
      <c r="MXV2" s="61"/>
      <c r="MXW2" s="61"/>
      <c r="MXX2" s="61"/>
      <c r="MXY2" s="61"/>
      <c r="MXZ2" s="61"/>
      <c r="MYA2" s="61"/>
      <c r="MYB2" s="61"/>
      <c r="MYC2" s="61"/>
      <c r="MYD2" s="61"/>
      <c r="MYE2" s="61"/>
      <c r="MYF2" s="61"/>
      <c r="MYG2" s="61"/>
      <c r="MYH2" s="61"/>
      <c r="MYI2" s="61"/>
      <c r="MYJ2" s="61"/>
      <c r="MYK2" s="61"/>
      <c r="MYL2" s="61"/>
      <c r="MYM2" s="61"/>
      <c r="MYN2" s="61"/>
      <c r="MYO2" s="61"/>
      <c r="MYP2" s="61"/>
      <c r="MYQ2" s="61"/>
      <c r="MYR2" s="61"/>
      <c r="MYS2" s="61"/>
      <c r="MYT2" s="61"/>
      <c r="MYU2" s="61"/>
      <c r="MYV2" s="61"/>
      <c r="MYW2" s="61"/>
      <c r="MYX2" s="61"/>
      <c r="MYY2" s="61"/>
      <c r="MYZ2" s="61"/>
      <c r="MZA2" s="61"/>
      <c r="MZB2" s="61"/>
      <c r="MZC2" s="61"/>
      <c r="MZD2" s="61"/>
      <c r="MZE2" s="61"/>
      <c r="MZF2" s="61"/>
      <c r="MZG2" s="61"/>
      <c r="MZH2" s="61"/>
      <c r="MZI2" s="61"/>
      <c r="MZJ2" s="61"/>
      <c r="MZK2" s="61"/>
      <c r="MZL2" s="61"/>
      <c r="MZM2" s="61"/>
      <c r="MZN2" s="61"/>
      <c r="MZO2" s="61"/>
      <c r="MZP2" s="61"/>
      <c r="MZQ2" s="61"/>
      <c r="MZR2" s="61"/>
      <c r="MZS2" s="61"/>
      <c r="MZT2" s="61"/>
      <c r="MZU2" s="61"/>
      <c r="MZV2" s="61"/>
      <c r="MZW2" s="61"/>
      <c r="MZX2" s="61"/>
      <c r="MZY2" s="61"/>
      <c r="MZZ2" s="61"/>
      <c r="NAA2" s="61"/>
      <c r="NAB2" s="61"/>
      <c r="NAC2" s="61"/>
      <c r="NAD2" s="61"/>
      <c r="NAE2" s="61"/>
      <c r="NAF2" s="61"/>
      <c r="NAG2" s="61"/>
      <c r="NAH2" s="61"/>
      <c r="NAI2" s="61"/>
      <c r="NAJ2" s="61"/>
      <c r="NAK2" s="61"/>
      <c r="NAL2" s="61"/>
      <c r="NAM2" s="61"/>
      <c r="NAN2" s="61"/>
      <c r="NAO2" s="61"/>
      <c r="NAP2" s="61"/>
      <c r="NAQ2" s="61"/>
      <c r="NAR2" s="61"/>
      <c r="NAS2" s="61"/>
      <c r="NAT2" s="61"/>
      <c r="NAU2" s="61"/>
      <c r="NAV2" s="61"/>
      <c r="NAW2" s="61"/>
      <c r="NAX2" s="61"/>
      <c r="NAY2" s="61"/>
      <c r="NAZ2" s="61"/>
      <c r="NBA2" s="61"/>
      <c r="NBB2" s="61"/>
      <c r="NBC2" s="61"/>
      <c r="NBD2" s="61"/>
      <c r="NBE2" s="61"/>
      <c r="NBF2" s="61"/>
      <c r="NBG2" s="61"/>
      <c r="NBH2" s="61"/>
      <c r="NBI2" s="61"/>
      <c r="NBJ2" s="61"/>
      <c r="NBK2" s="61"/>
      <c r="NBL2" s="61"/>
      <c r="NBM2" s="61"/>
      <c r="NBN2" s="61"/>
      <c r="NBO2" s="61"/>
      <c r="NBP2" s="61"/>
      <c r="NBQ2" s="61"/>
      <c r="NBR2" s="61"/>
      <c r="NBS2" s="61"/>
      <c r="NBT2" s="61"/>
      <c r="NBU2" s="61"/>
      <c r="NBV2" s="61"/>
      <c r="NBW2" s="61"/>
      <c r="NBX2" s="61"/>
      <c r="NBY2" s="61"/>
      <c r="NBZ2" s="61"/>
      <c r="NCA2" s="61"/>
      <c r="NCB2" s="61"/>
      <c r="NCC2" s="61"/>
      <c r="NCD2" s="61"/>
      <c r="NCE2" s="61"/>
      <c r="NCF2" s="61"/>
      <c r="NCG2" s="61"/>
      <c r="NCH2" s="61"/>
      <c r="NCI2" s="61"/>
      <c r="NCJ2" s="61"/>
      <c r="NCK2" s="61"/>
      <c r="NCL2" s="61"/>
      <c r="NCM2" s="61"/>
      <c r="NCN2" s="61"/>
      <c r="NCO2" s="61"/>
      <c r="NCP2" s="61"/>
      <c r="NCQ2" s="61"/>
      <c r="NCR2" s="61"/>
      <c r="NCS2" s="61"/>
      <c r="NCT2" s="61"/>
      <c r="NCU2" s="61"/>
      <c r="NCV2" s="61"/>
      <c r="NCW2" s="61"/>
      <c r="NCX2" s="61"/>
      <c r="NCY2" s="61"/>
      <c r="NCZ2" s="61"/>
      <c r="NDA2" s="61"/>
      <c r="NDB2" s="61"/>
      <c r="NDC2" s="61"/>
      <c r="NDD2" s="61"/>
      <c r="NDE2" s="61"/>
      <c r="NDF2" s="61"/>
      <c r="NDG2" s="61"/>
      <c r="NDH2" s="61"/>
      <c r="NDI2" s="61"/>
      <c r="NDJ2" s="61"/>
      <c r="NDK2" s="61"/>
      <c r="NDL2" s="61"/>
      <c r="NDM2" s="61"/>
      <c r="NDN2" s="61"/>
      <c r="NDO2" s="61"/>
      <c r="NDP2" s="61"/>
      <c r="NDQ2" s="61"/>
      <c r="NDR2" s="61"/>
      <c r="NDS2" s="61"/>
      <c r="NDT2" s="61"/>
      <c r="NDU2" s="61"/>
      <c r="NDV2" s="61"/>
      <c r="NDW2" s="61"/>
      <c r="NDX2" s="61"/>
      <c r="NDY2" s="61"/>
      <c r="NDZ2" s="61"/>
      <c r="NEA2" s="61"/>
      <c r="NEB2" s="61"/>
      <c r="NEC2" s="61"/>
      <c r="NED2" s="61"/>
      <c r="NEE2" s="61"/>
      <c r="NEF2" s="61"/>
      <c r="NEG2" s="61"/>
      <c r="NEH2" s="61"/>
      <c r="NEI2" s="61"/>
      <c r="NEJ2" s="61"/>
      <c r="NEK2" s="61"/>
      <c r="NEL2" s="61"/>
      <c r="NEM2" s="61"/>
      <c r="NEN2" s="61"/>
      <c r="NEO2" s="61"/>
      <c r="NEP2" s="61"/>
      <c r="NEQ2" s="61"/>
      <c r="NER2" s="61"/>
      <c r="NES2" s="61"/>
      <c r="NET2" s="61"/>
      <c r="NEU2" s="61"/>
      <c r="NEV2" s="61"/>
      <c r="NEW2" s="61"/>
      <c r="NEX2" s="61"/>
      <c r="NEY2" s="61"/>
      <c r="NEZ2" s="61"/>
      <c r="NFA2" s="61"/>
      <c r="NFB2" s="61"/>
      <c r="NFC2" s="61"/>
      <c r="NFD2" s="61"/>
      <c r="NFE2" s="61"/>
      <c r="NFF2" s="61"/>
      <c r="NFG2" s="61"/>
      <c r="NFH2" s="61"/>
      <c r="NFI2" s="61"/>
      <c r="NFJ2" s="61"/>
      <c r="NFK2" s="61"/>
      <c r="NFL2" s="61"/>
      <c r="NFM2" s="61"/>
      <c r="NFN2" s="61"/>
      <c r="NFO2" s="61"/>
      <c r="NFP2" s="61"/>
      <c r="NFQ2" s="61"/>
      <c r="NFR2" s="61"/>
      <c r="NFS2" s="61"/>
      <c r="NFT2" s="61"/>
      <c r="NFU2" s="61"/>
      <c r="NFV2" s="61"/>
      <c r="NFW2" s="61"/>
      <c r="NFX2" s="61"/>
      <c r="NFY2" s="61"/>
      <c r="NFZ2" s="61"/>
      <c r="NGA2" s="61"/>
      <c r="NGB2" s="61"/>
      <c r="NGC2" s="61"/>
      <c r="NGD2" s="61"/>
      <c r="NGE2" s="61"/>
      <c r="NGF2" s="61"/>
      <c r="NGG2" s="61"/>
      <c r="NGH2" s="61"/>
      <c r="NGI2" s="61"/>
      <c r="NGJ2" s="61"/>
      <c r="NGK2" s="61"/>
      <c r="NGL2" s="61"/>
      <c r="NGM2" s="61"/>
      <c r="NGN2" s="61"/>
      <c r="NGO2" s="61"/>
      <c r="NGP2" s="61"/>
      <c r="NGQ2" s="61"/>
      <c r="NGR2" s="61"/>
      <c r="NGS2" s="61"/>
      <c r="NGT2" s="61"/>
      <c r="NGU2" s="61"/>
      <c r="NGV2" s="61"/>
      <c r="NGW2" s="61"/>
      <c r="NGX2" s="61"/>
      <c r="NGY2" s="61"/>
      <c r="NGZ2" s="61"/>
      <c r="NHA2" s="61"/>
      <c r="NHB2" s="61"/>
      <c r="NHC2" s="61"/>
      <c r="NHD2" s="61"/>
      <c r="NHE2" s="61"/>
      <c r="NHF2" s="61"/>
      <c r="NHG2" s="61"/>
      <c r="NHH2" s="61"/>
      <c r="NHI2" s="61"/>
      <c r="NHJ2" s="61"/>
      <c r="NHK2" s="61"/>
      <c r="NHL2" s="61"/>
      <c r="NHM2" s="61"/>
      <c r="NHN2" s="61"/>
      <c r="NHO2" s="61"/>
      <c r="NHP2" s="61"/>
      <c r="NHQ2" s="61"/>
      <c r="NHR2" s="61"/>
      <c r="NHS2" s="61"/>
      <c r="NHT2" s="61"/>
      <c r="NHU2" s="61"/>
      <c r="NHV2" s="61"/>
      <c r="NHW2" s="61"/>
      <c r="NHX2" s="61"/>
      <c r="NHY2" s="61"/>
      <c r="NHZ2" s="61"/>
      <c r="NIA2" s="61"/>
      <c r="NIB2" s="61"/>
      <c r="NIC2" s="61"/>
      <c r="NID2" s="61"/>
      <c r="NIE2" s="61"/>
      <c r="NIF2" s="61"/>
      <c r="NIG2" s="61"/>
      <c r="NIH2" s="61"/>
      <c r="NII2" s="61"/>
      <c r="NIJ2" s="61"/>
      <c r="NIK2" s="61"/>
      <c r="NIL2" s="61"/>
      <c r="NIM2" s="61"/>
      <c r="NIN2" s="61"/>
      <c r="NIO2" s="61"/>
      <c r="NIP2" s="61"/>
      <c r="NIQ2" s="61"/>
      <c r="NIR2" s="61"/>
      <c r="NIS2" s="61"/>
      <c r="NIT2" s="61"/>
      <c r="NIU2" s="61"/>
      <c r="NIV2" s="61"/>
      <c r="NIW2" s="61"/>
      <c r="NIX2" s="61"/>
      <c r="NIY2" s="61"/>
      <c r="NIZ2" s="61"/>
      <c r="NJA2" s="61"/>
      <c r="NJB2" s="61"/>
      <c r="NJC2" s="61"/>
      <c r="NJD2" s="61"/>
      <c r="NJE2" s="61"/>
      <c r="NJF2" s="61"/>
      <c r="NJG2" s="61"/>
      <c r="NJH2" s="61"/>
      <c r="NJI2" s="61"/>
      <c r="NJJ2" s="61"/>
      <c r="NJK2" s="61"/>
      <c r="NJL2" s="61"/>
      <c r="NJM2" s="61"/>
      <c r="NJN2" s="61"/>
      <c r="NJO2" s="61"/>
      <c r="NJP2" s="61"/>
      <c r="NJQ2" s="61"/>
      <c r="NJR2" s="61"/>
      <c r="NJS2" s="61"/>
      <c r="NJT2" s="61"/>
      <c r="NJU2" s="61"/>
      <c r="NJV2" s="61"/>
      <c r="NJW2" s="61"/>
      <c r="NJX2" s="61"/>
      <c r="NJY2" s="61"/>
      <c r="NJZ2" s="61"/>
      <c r="NKA2" s="61"/>
      <c r="NKB2" s="61"/>
      <c r="NKC2" s="61"/>
      <c r="NKD2" s="61"/>
      <c r="NKE2" s="61"/>
      <c r="NKF2" s="61"/>
      <c r="NKG2" s="61"/>
      <c r="NKH2" s="61"/>
      <c r="NKI2" s="61"/>
      <c r="NKJ2" s="61"/>
      <c r="NKK2" s="61"/>
      <c r="NKL2" s="61"/>
      <c r="NKM2" s="61"/>
      <c r="NKN2" s="61"/>
      <c r="NKO2" s="61"/>
      <c r="NKP2" s="61"/>
      <c r="NKQ2" s="61"/>
      <c r="NKR2" s="61"/>
      <c r="NKS2" s="61"/>
      <c r="NKT2" s="61"/>
      <c r="NKU2" s="61"/>
      <c r="NKV2" s="61"/>
      <c r="NKW2" s="61"/>
      <c r="NKX2" s="61"/>
      <c r="NKY2" s="61"/>
      <c r="NKZ2" s="61"/>
      <c r="NLA2" s="61"/>
      <c r="NLB2" s="61"/>
      <c r="NLC2" s="61"/>
      <c r="NLD2" s="61"/>
      <c r="NLE2" s="61"/>
      <c r="NLF2" s="61"/>
      <c r="NLG2" s="61"/>
      <c r="NLH2" s="61"/>
      <c r="NLI2" s="61"/>
      <c r="NLJ2" s="61"/>
      <c r="NLK2" s="61"/>
      <c r="NLL2" s="61"/>
      <c r="NLM2" s="61"/>
      <c r="NLN2" s="61"/>
      <c r="NLO2" s="61"/>
      <c r="NLP2" s="61"/>
      <c r="NLQ2" s="61"/>
      <c r="NLR2" s="61"/>
      <c r="NLS2" s="61"/>
      <c r="NLT2" s="61"/>
      <c r="NLU2" s="61"/>
      <c r="NLV2" s="61"/>
      <c r="NLW2" s="61"/>
      <c r="NLX2" s="61"/>
      <c r="NLY2" s="61"/>
      <c r="NLZ2" s="61"/>
      <c r="NMA2" s="61"/>
      <c r="NMB2" s="61"/>
      <c r="NMC2" s="61"/>
      <c r="NMD2" s="61"/>
      <c r="NME2" s="61"/>
      <c r="NMF2" s="61"/>
      <c r="NMG2" s="61"/>
      <c r="NMH2" s="61"/>
      <c r="NMI2" s="61"/>
      <c r="NMJ2" s="61"/>
      <c r="NMK2" s="61"/>
      <c r="NML2" s="61"/>
      <c r="NMM2" s="61"/>
      <c r="NMN2" s="61"/>
      <c r="NMO2" s="61"/>
      <c r="NMP2" s="61"/>
      <c r="NMQ2" s="61"/>
      <c r="NMR2" s="61"/>
      <c r="NMS2" s="61"/>
      <c r="NMT2" s="61"/>
      <c r="NMU2" s="61"/>
      <c r="NMV2" s="61"/>
      <c r="NMW2" s="61"/>
      <c r="NMX2" s="61"/>
      <c r="NMY2" s="61"/>
      <c r="NMZ2" s="61"/>
      <c r="NNA2" s="61"/>
      <c r="NNB2" s="61"/>
      <c r="NNC2" s="61"/>
      <c r="NND2" s="61"/>
      <c r="NNE2" s="61"/>
      <c r="NNF2" s="61"/>
      <c r="NNG2" s="61"/>
      <c r="NNH2" s="61"/>
      <c r="NNI2" s="61"/>
      <c r="NNJ2" s="61"/>
      <c r="NNK2" s="61"/>
      <c r="NNL2" s="61"/>
      <c r="NNM2" s="61"/>
      <c r="NNN2" s="61"/>
      <c r="NNO2" s="61"/>
      <c r="NNP2" s="61"/>
      <c r="NNQ2" s="61"/>
      <c r="NNR2" s="61"/>
      <c r="NNS2" s="61"/>
      <c r="NNT2" s="61"/>
      <c r="NNU2" s="61"/>
      <c r="NNV2" s="61"/>
      <c r="NNW2" s="61"/>
      <c r="NNX2" s="61"/>
      <c r="NNY2" s="61"/>
      <c r="NNZ2" s="61"/>
      <c r="NOA2" s="61"/>
      <c r="NOB2" s="61"/>
      <c r="NOC2" s="61"/>
      <c r="NOD2" s="61"/>
      <c r="NOE2" s="61"/>
      <c r="NOF2" s="61"/>
      <c r="NOG2" s="61"/>
      <c r="NOH2" s="61"/>
      <c r="NOI2" s="61"/>
      <c r="NOJ2" s="61"/>
      <c r="NOK2" s="61"/>
      <c r="NOL2" s="61"/>
      <c r="NOM2" s="61"/>
      <c r="NON2" s="61"/>
      <c r="NOO2" s="61"/>
      <c r="NOP2" s="61"/>
      <c r="NOQ2" s="61"/>
      <c r="NOR2" s="61"/>
      <c r="NOS2" s="61"/>
      <c r="NOT2" s="61"/>
      <c r="NOU2" s="61"/>
      <c r="NOV2" s="61"/>
      <c r="NOW2" s="61"/>
      <c r="NOX2" s="61"/>
      <c r="NOY2" s="61"/>
      <c r="NOZ2" s="61"/>
      <c r="NPA2" s="61"/>
      <c r="NPB2" s="61"/>
      <c r="NPC2" s="61"/>
      <c r="NPD2" s="61"/>
      <c r="NPE2" s="61"/>
      <c r="NPF2" s="61"/>
      <c r="NPG2" s="61"/>
      <c r="NPH2" s="61"/>
      <c r="NPI2" s="61"/>
      <c r="NPJ2" s="61"/>
      <c r="NPK2" s="61"/>
      <c r="NPL2" s="61"/>
      <c r="NPM2" s="61"/>
      <c r="NPN2" s="61"/>
      <c r="NPO2" s="61"/>
      <c r="NPP2" s="61"/>
      <c r="NPQ2" s="61"/>
      <c r="NPR2" s="61"/>
      <c r="NPS2" s="61"/>
      <c r="NPT2" s="61"/>
      <c r="NPU2" s="61"/>
      <c r="NPV2" s="61"/>
      <c r="NPW2" s="61"/>
      <c r="NPX2" s="61"/>
      <c r="NPY2" s="61"/>
      <c r="NPZ2" s="61"/>
      <c r="NQA2" s="61"/>
      <c r="NQB2" s="61"/>
      <c r="NQC2" s="61"/>
      <c r="NQD2" s="61"/>
      <c r="NQE2" s="61"/>
      <c r="NQF2" s="61"/>
      <c r="NQG2" s="61"/>
      <c r="NQH2" s="61"/>
      <c r="NQI2" s="61"/>
      <c r="NQJ2" s="61"/>
      <c r="NQK2" s="61"/>
      <c r="NQL2" s="61"/>
      <c r="NQM2" s="61"/>
      <c r="NQN2" s="61"/>
      <c r="NQO2" s="61"/>
      <c r="NQP2" s="61"/>
      <c r="NQQ2" s="61"/>
      <c r="NQR2" s="61"/>
      <c r="NQS2" s="61"/>
      <c r="NQT2" s="61"/>
      <c r="NQU2" s="61"/>
      <c r="NQV2" s="61"/>
      <c r="NQW2" s="61"/>
      <c r="NQX2" s="61"/>
      <c r="NQY2" s="61"/>
      <c r="NQZ2" s="61"/>
      <c r="NRA2" s="61"/>
      <c r="NRB2" s="61"/>
      <c r="NRC2" s="61"/>
      <c r="NRD2" s="61"/>
      <c r="NRE2" s="61"/>
      <c r="NRF2" s="61"/>
      <c r="NRG2" s="61"/>
      <c r="NRH2" s="61"/>
      <c r="NRI2" s="61"/>
      <c r="NRJ2" s="61"/>
      <c r="NRK2" s="61"/>
      <c r="NRL2" s="61"/>
      <c r="NRM2" s="61"/>
      <c r="NRN2" s="61"/>
      <c r="NRO2" s="61"/>
      <c r="NRP2" s="61"/>
      <c r="NRQ2" s="61"/>
      <c r="NRR2" s="61"/>
      <c r="NRS2" s="61"/>
      <c r="NRT2" s="61"/>
      <c r="NRU2" s="61"/>
      <c r="NRV2" s="61"/>
      <c r="NRW2" s="61"/>
      <c r="NRX2" s="61"/>
      <c r="NRY2" s="61"/>
      <c r="NRZ2" s="61"/>
      <c r="NSA2" s="61"/>
      <c r="NSB2" s="61"/>
      <c r="NSC2" s="61"/>
      <c r="NSD2" s="61"/>
      <c r="NSE2" s="61"/>
      <c r="NSF2" s="61"/>
      <c r="NSG2" s="61"/>
      <c r="NSH2" s="61"/>
      <c r="NSI2" s="61"/>
      <c r="NSJ2" s="61"/>
      <c r="NSK2" s="61"/>
      <c r="NSL2" s="61"/>
      <c r="NSM2" s="61"/>
      <c r="NSN2" s="61"/>
      <c r="NSO2" s="61"/>
      <c r="NSP2" s="61"/>
      <c r="NSQ2" s="61"/>
      <c r="NSR2" s="61"/>
      <c r="NSS2" s="61"/>
      <c r="NST2" s="61"/>
      <c r="NSU2" s="61"/>
      <c r="NSV2" s="61"/>
      <c r="NSW2" s="61"/>
      <c r="NSX2" s="61"/>
      <c r="NSY2" s="61"/>
      <c r="NSZ2" s="61"/>
      <c r="NTA2" s="61"/>
      <c r="NTB2" s="61"/>
      <c r="NTC2" s="61"/>
      <c r="NTD2" s="61"/>
      <c r="NTE2" s="61"/>
      <c r="NTF2" s="61"/>
      <c r="NTG2" s="61"/>
      <c r="NTH2" s="61"/>
      <c r="NTI2" s="61"/>
      <c r="NTJ2" s="61"/>
      <c r="NTK2" s="61"/>
      <c r="NTL2" s="61"/>
      <c r="NTM2" s="61"/>
      <c r="NTN2" s="61"/>
      <c r="NTO2" s="61"/>
      <c r="NTP2" s="61"/>
      <c r="NTQ2" s="61"/>
      <c r="NTR2" s="61"/>
      <c r="NTS2" s="61"/>
      <c r="NTT2" s="61"/>
      <c r="NTU2" s="61"/>
      <c r="NTV2" s="61"/>
      <c r="NTW2" s="61"/>
      <c r="NTX2" s="61"/>
      <c r="NTY2" s="61"/>
      <c r="NTZ2" s="61"/>
      <c r="NUA2" s="61"/>
      <c r="NUB2" s="61"/>
      <c r="NUC2" s="61"/>
      <c r="NUD2" s="61"/>
      <c r="NUE2" s="61"/>
      <c r="NUF2" s="61"/>
      <c r="NUG2" s="61"/>
      <c r="NUH2" s="61"/>
      <c r="NUI2" s="61"/>
      <c r="NUJ2" s="61"/>
      <c r="NUK2" s="61"/>
      <c r="NUL2" s="61"/>
      <c r="NUM2" s="61"/>
      <c r="NUN2" s="61"/>
      <c r="NUO2" s="61"/>
      <c r="NUP2" s="61"/>
      <c r="NUQ2" s="61"/>
      <c r="NUR2" s="61"/>
      <c r="NUS2" s="61"/>
      <c r="NUT2" s="61"/>
      <c r="NUU2" s="61"/>
      <c r="NUV2" s="61"/>
      <c r="NUW2" s="61"/>
      <c r="NUX2" s="61"/>
      <c r="NUY2" s="61"/>
      <c r="NUZ2" s="61"/>
      <c r="NVA2" s="61"/>
      <c r="NVB2" s="61"/>
      <c r="NVC2" s="61"/>
      <c r="NVD2" s="61"/>
      <c r="NVE2" s="61"/>
      <c r="NVF2" s="61"/>
      <c r="NVG2" s="61"/>
      <c r="NVH2" s="61"/>
      <c r="NVI2" s="61"/>
      <c r="NVJ2" s="61"/>
      <c r="NVK2" s="61"/>
      <c r="NVL2" s="61"/>
      <c r="NVM2" s="61"/>
      <c r="NVN2" s="61"/>
      <c r="NVO2" s="61"/>
      <c r="NVP2" s="61"/>
      <c r="NVQ2" s="61"/>
      <c r="NVR2" s="61"/>
      <c r="NVS2" s="61"/>
      <c r="NVT2" s="61"/>
      <c r="NVU2" s="61"/>
      <c r="NVV2" s="61"/>
      <c r="NVW2" s="61"/>
      <c r="NVX2" s="61"/>
      <c r="NVY2" s="61"/>
      <c r="NVZ2" s="61"/>
      <c r="NWA2" s="61"/>
      <c r="NWB2" s="61"/>
      <c r="NWC2" s="61"/>
      <c r="NWD2" s="61"/>
      <c r="NWE2" s="61"/>
      <c r="NWF2" s="61"/>
      <c r="NWG2" s="61"/>
      <c r="NWH2" s="61"/>
      <c r="NWI2" s="61"/>
      <c r="NWJ2" s="61"/>
      <c r="NWK2" s="61"/>
      <c r="NWL2" s="61"/>
      <c r="NWM2" s="61"/>
      <c r="NWN2" s="61"/>
      <c r="NWO2" s="61"/>
      <c r="NWP2" s="61"/>
      <c r="NWQ2" s="61"/>
      <c r="NWR2" s="61"/>
      <c r="NWS2" s="61"/>
      <c r="NWT2" s="61"/>
      <c r="NWU2" s="61"/>
      <c r="NWV2" s="61"/>
      <c r="NWW2" s="61"/>
      <c r="NWX2" s="61"/>
      <c r="NWY2" s="61"/>
      <c r="NWZ2" s="61"/>
      <c r="NXA2" s="61"/>
      <c r="NXB2" s="61"/>
      <c r="NXC2" s="61"/>
      <c r="NXD2" s="61"/>
      <c r="NXE2" s="61"/>
      <c r="NXF2" s="61"/>
      <c r="NXG2" s="61"/>
      <c r="NXH2" s="61"/>
      <c r="NXI2" s="61"/>
      <c r="NXJ2" s="61"/>
      <c r="NXK2" s="61"/>
      <c r="NXL2" s="61"/>
      <c r="NXM2" s="61"/>
      <c r="NXN2" s="61"/>
      <c r="NXO2" s="61"/>
      <c r="NXP2" s="61"/>
      <c r="NXQ2" s="61"/>
      <c r="NXR2" s="61"/>
      <c r="NXS2" s="61"/>
      <c r="NXT2" s="61"/>
      <c r="NXU2" s="61"/>
      <c r="NXV2" s="61"/>
      <c r="NXW2" s="61"/>
      <c r="NXX2" s="61"/>
      <c r="NXY2" s="61"/>
      <c r="NXZ2" s="61"/>
      <c r="NYA2" s="61"/>
      <c r="NYB2" s="61"/>
      <c r="NYC2" s="61"/>
      <c r="NYD2" s="61"/>
      <c r="NYE2" s="61"/>
      <c r="NYF2" s="61"/>
      <c r="NYG2" s="61"/>
      <c r="NYH2" s="61"/>
      <c r="NYI2" s="61"/>
      <c r="NYJ2" s="61"/>
      <c r="NYK2" s="61"/>
      <c r="NYL2" s="61"/>
      <c r="NYM2" s="61"/>
      <c r="NYN2" s="61"/>
      <c r="NYO2" s="61"/>
      <c r="NYP2" s="61"/>
      <c r="NYQ2" s="61"/>
      <c r="NYR2" s="61"/>
      <c r="NYS2" s="61"/>
      <c r="NYT2" s="61"/>
      <c r="NYU2" s="61"/>
      <c r="NYV2" s="61"/>
      <c r="NYW2" s="61"/>
      <c r="NYX2" s="61"/>
      <c r="NYY2" s="61"/>
      <c r="NYZ2" s="61"/>
      <c r="NZA2" s="61"/>
      <c r="NZB2" s="61"/>
      <c r="NZC2" s="61"/>
      <c r="NZD2" s="61"/>
      <c r="NZE2" s="61"/>
      <c r="NZF2" s="61"/>
      <c r="NZG2" s="61"/>
      <c r="NZH2" s="61"/>
      <c r="NZI2" s="61"/>
      <c r="NZJ2" s="61"/>
      <c r="NZK2" s="61"/>
      <c r="NZL2" s="61"/>
      <c r="NZM2" s="61"/>
      <c r="NZN2" s="61"/>
      <c r="NZO2" s="61"/>
      <c r="NZP2" s="61"/>
      <c r="NZQ2" s="61"/>
      <c r="NZR2" s="61"/>
      <c r="NZS2" s="61"/>
      <c r="NZT2" s="61"/>
      <c r="NZU2" s="61"/>
      <c r="NZV2" s="61"/>
      <c r="NZW2" s="61"/>
      <c r="NZX2" s="61"/>
      <c r="NZY2" s="61"/>
      <c r="NZZ2" s="61"/>
      <c r="OAA2" s="61"/>
      <c r="OAB2" s="61"/>
      <c r="OAC2" s="61"/>
      <c r="OAD2" s="61"/>
      <c r="OAE2" s="61"/>
      <c r="OAF2" s="61"/>
      <c r="OAG2" s="61"/>
      <c r="OAH2" s="61"/>
      <c r="OAI2" s="61"/>
      <c r="OAJ2" s="61"/>
      <c r="OAK2" s="61"/>
      <c r="OAL2" s="61"/>
      <c r="OAM2" s="61"/>
      <c r="OAN2" s="61"/>
      <c r="OAO2" s="61"/>
      <c r="OAP2" s="61"/>
      <c r="OAQ2" s="61"/>
      <c r="OAR2" s="61"/>
      <c r="OAS2" s="61"/>
      <c r="OAT2" s="61"/>
      <c r="OAU2" s="61"/>
      <c r="OAV2" s="61"/>
      <c r="OAW2" s="61"/>
      <c r="OAX2" s="61"/>
      <c r="OAY2" s="61"/>
      <c r="OAZ2" s="61"/>
      <c r="OBA2" s="61"/>
      <c r="OBB2" s="61"/>
      <c r="OBC2" s="61"/>
      <c r="OBD2" s="61"/>
      <c r="OBE2" s="61"/>
      <c r="OBF2" s="61"/>
      <c r="OBG2" s="61"/>
      <c r="OBH2" s="61"/>
      <c r="OBI2" s="61"/>
      <c r="OBJ2" s="61"/>
      <c r="OBK2" s="61"/>
      <c r="OBL2" s="61"/>
      <c r="OBM2" s="61"/>
      <c r="OBN2" s="61"/>
      <c r="OBO2" s="61"/>
      <c r="OBP2" s="61"/>
      <c r="OBQ2" s="61"/>
      <c r="OBR2" s="61"/>
      <c r="OBS2" s="61"/>
      <c r="OBT2" s="61"/>
      <c r="OBU2" s="61"/>
      <c r="OBV2" s="61"/>
      <c r="OBW2" s="61"/>
      <c r="OBX2" s="61"/>
      <c r="OBY2" s="61"/>
      <c r="OBZ2" s="61"/>
      <c r="OCA2" s="61"/>
      <c r="OCB2" s="61"/>
      <c r="OCC2" s="61"/>
      <c r="OCD2" s="61"/>
      <c r="OCE2" s="61"/>
      <c r="OCF2" s="61"/>
      <c r="OCG2" s="61"/>
      <c r="OCH2" s="61"/>
      <c r="OCI2" s="61"/>
      <c r="OCJ2" s="61"/>
      <c r="OCK2" s="61"/>
      <c r="OCL2" s="61"/>
      <c r="OCM2" s="61"/>
      <c r="OCN2" s="61"/>
      <c r="OCO2" s="61"/>
      <c r="OCP2" s="61"/>
      <c r="OCQ2" s="61"/>
      <c r="OCR2" s="61"/>
      <c r="OCS2" s="61"/>
      <c r="OCT2" s="61"/>
      <c r="OCU2" s="61"/>
      <c r="OCV2" s="61"/>
      <c r="OCW2" s="61"/>
      <c r="OCX2" s="61"/>
      <c r="OCY2" s="61"/>
      <c r="OCZ2" s="61"/>
      <c r="ODA2" s="61"/>
      <c r="ODB2" s="61"/>
      <c r="ODC2" s="61"/>
      <c r="ODD2" s="61"/>
      <c r="ODE2" s="61"/>
      <c r="ODF2" s="61"/>
      <c r="ODG2" s="61"/>
      <c r="ODH2" s="61"/>
      <c r="ODI2" s="61"/>
      <c r="ODJ2" s="61"/>
      <c r="ODK2" s="61"/>
      <c r="ODL2" s="61"/>
      <c r="ODM2" s="61"/>
      <c r="ODN2" s="61"/>
      <c r="ODO2" s="61"/>
      <c r="ODP2" s="61"/>
      <c r="ODQ2" s="61"/>
      <c r="ODR2" s="61"/>
      <c r="ODS2" s="61"/>
      <c r="ODT2" s="61"/>
      <c r="ODU2" s="61"/>
      <c r="ODV2" s="61"/>
      <c r="ODW2" s="61"/>
      <c r="ODX2" s="61"/>
      <c r="ODY2" s="61"/>
      <c r="ODZ2" s="61"/>
      <c r="OEA2" s="61"/>
      <c r="OEB2" s="61"/>
      <c r="OEC2" s="61"/>
      <c r="OED2" s="61"/>
      <c r="OEE2" s="61"/>
      <c r="OEF2" s="61"/>
      <c r="OEG2" s="61"/>
      <c r="OEH2" s="61"/>
      <c r="OEI2" s="61"/>
      <c r="OEJ2" s="61"/>
      <c r="OEK2" s="61"/>
      <c r="OEL2" s="61"/>
      <c r="OEM2" s="61"/>
      <c r="OEN2" s="61"/>
      <c r="OEO2" s="61"/>
      <c r="OEP2" s="61"/>
      <c r="OEQ2" s="61"/>
      <c r="OER2" s="61"/>
      <c r="OES2" s="61"/>
      <c r="OET2" s="61"/>
      <c r="OEU2" s="61"/>
      <c r="OEV2" s="61"/>
      <c r="OEW2" s="61"/>
      <c r="OEX2" s="61"/>
      <c r="OEY2" s="61"/>
      <c r="OEZ2" s="61"/>
      <c r="OFA2" s="61"/>
      <c r="OFB2" s="61"/>
      <c r="OFC2" s="61"/>
      <c r="OFD2" s="61"/>
      <c r="OFE2" s="61"/>
      <c r="OFF2" s="61"/>
      <c r="OFG2" s="61"/>
      <c r="OFH2" s="61"/>
      <c r="OFI2" s="61"/>
      <c r="OFJ2" s="61"/>
      <c r="OFK2" s="61"/>
      <c r="OFL2" s="61"/>
      <c r="OFM2" s="61"/>
      <c r="OFN2" s="61"/>
      <c r="OFO2" s="61"/>
      <c r="OFP2" s="61"/>
      <c r="OFQ2" s="61"/>
      <c r="OFR2" s="61"/>
      <c r="OFS2" s="61"/>
      <c r="OFT2" s="61"/>
      <c r="OFU2" s="61"/>
      <c r="OFV2" s="61"/>
      <c r="OFW2" s="61"/>
      <c r="OFX2" s="61"/>
      <c r="OFY2" s="61"/>
      <c r="OFZ2" s="61"/>
      <c r="OGA2" s="61"/>
      <c r="OGB2" s="61"/>
      <c r="OGC2" s="61"/>
      <c r="OGD2" s="61"/>
      <c r="OGE2" s="61"/>
      <c r="OGF2" s="61"/>
      <c r="OGG2" s="61"/>
      <c r="OGH2" s="61"/>
      <c r="OGI2" s="61"/>
      <c r="OGJ2" s="61"/>
      <c r="OGK2" s="61"/>
      <c r="OGL2" s="61"/>
      <c r="OGM2" s="61"/>
      <c r="OGN2" s="61"/>
      <c r="OGO2" s="61"/>
      <c r="OGP2" s="61"/>
      <c r="OGQ2" s="61"/>
      <c r="OGR2" s="61"/>
      <c r="OGS2" s="61"/>
      <c r="OGT2" s="61"/>
      <c r="OGU2" s="61"/>
      <c r="OGV2" s="61"/>
      <c r="OGW2" s="61"/>
      <c r="OGX2" s="61"/>
      <c r="OGY2" s="61"/>
      <c r="OGZ2" s="61"/>
      <c r="OHA2" s="61"/>
      <c r="OHB2" s="61"/>
      <c r="OHC2" s="61"/>
      <c r="OHD2" s="61"/>
      <c r="OHE2" s="61"/>
      <c r="OHF2" s="61"/>
      <c r="OHG2" s="61"/>
      <c r="OHH2" s="61"/>
      <c r="OHI2" s="61"/>
      <c r="OHJ2" s="61"/>
      <c r="OHK2" s="61"/>
      <c r="OHL2" s="61"/>
      <c r="OHM2" s="61"/>
      <c r="OHN2" s="61"/>
      <c r="OHO2" s="61"/>
      <c r="OHP2" s="61"/>
      <c r="OHQ2" s="61"/>
      <c r="OHR2" s="61"/>
      <c r="OHS2" s="61"/>
      <c r="OHT2" s="61"/>
      <c r="OHU2" s="61"/>
      <c r="OHV2" s="61"/>
      <c r="OHW2" s="61"/>
      <c r="OHX2" s="61"/>
      <c r="OHY2" s="61"/>
      <c r="OHZ2" s="61"/>
      <c r="OIA2" s="61"/>
      <c r="OIB2" s="61"/>
      <c r="OIC2" s="61"/>
      <c r="OID2" s="61"/>
      <c r="OIE2" s="61"/>
      <c r="OIF2" s="61"/>
      <c r="OIG2" s="61"/>
      <c r="OIH2" s="61"/>
      <c r="OII2" s="61"/>
      <c r="OIJ2" s="61"/>
      <c r="OIK2" s="61"/>
      <c r="OIL2" s="61"/>
      <c r="OIM2" s="61"/>
      <c r="OIN2" s="61"/>
      <c r="OIO2" s="61"/>
      <c r="OIP2" s="61"/>
      <c r="OIQ2" s="61"/>
      <c r="OIR2" s="61"/>
      <c r="OIS2" s="61"/>
      <c r="OIT2" s="61"/>
      <c r="OIU2" s="61"/>
      <c r="OIV2" s="61"/>
      <c r="OIW2" s="61"/>
      <c r="OIX2" s="61"/>
      <c r="OIY2" s="61"/>
      <c r="OIZ2" s="61"/>
      <c r="OJA2" s="61"/>
      <c r="OJB2" s="61"/>
      <c r="OJC2" s="61"/>
      <c r="OJD2" s="61"/>
      <c r="OJE2" s="61"/>
      <c r="OJF2" s="61"/>
      <c r="OJG2" s="61"/>
      <c r="OJH2" s="61"/>
      <c r="OJI2" s="61"/>
      <c r="OJJ2" s="61"/>
      <c r="OJK2" s="61"/>
      <c r="OJL2" s="61"/>
      <c r="OJM2" s="61"/>
      <c r="OJN2" s="61"/>
      <c r="OJO2" s="61"/>
      <c r="OJP2" s="61"/>
      <c r="OJQ2" s="61"/>
      <c r="OJR2" s="61"/>
      <c r="OJS2" s="61"/>
      <c r="OJT2" s="61"/>
      <c r="OJU2" s="61"/>
      <c r="OJV2" s="61"/>
      <c r="OJW2" s="61"/>
      <c r="OJX2" s="61"/>
      <c r="OJY2" s="61"/>
      <c r="OJZ2" s="61"/>
      <c r="OKA2" s="61"/>
      <c r="OKB2" s="61"/>
      <c r="OKC2" s="61"/>
      <c r="OKD2" s="61"/>
      <c r="OKE2" s="61"/>
      <c r="OKF2" s="61"/>
      <c r="OKG2" s="61"/>
      <c r="OKH2" s="61"/>
      <c r="OKI2" s="61"/>
      <c r="OKJ2" s="61"/>
      <c r="OKK2" s="61"/>
      <c r="OKL2" s="61"/>
      <c r="OKM2" s="61"/>
      <c r="OKN2" s="61"/>
      <c r="OKO2" s="61"/>
      <c r="OKP2" s="61"/>
      <c r="OKQ2" s="61"/>
      <c r="OKR2" s="61"/>
      <c r="OKS2" s="61"/>
      <c r="OKT2" s="61"/>
      <c r="OKU2" s="61"/>
      <c r="OKV2" s="61"/>
      <c r="OKW2" s="61"/>
      <c r="OKX2" s="61"/>
      <c r="OKY2" s="61"/>
      <c r="OKZ2" s="61"/>
      <c r="OLA2" s="61"/>
      <c r="OLB2" s="61"/>
      <c r="OLC2" s="61"/>
      <c r="OLD2" s="61"/>
      <c r="OLE2" s="61"/>
      <c r="OLF2" s="61"/>
      <c r="OLG2" s="61"/>
      <c r="OLH2" s="61"/>
      <c r="OLI2" s="61"/>
      <c r="OLJ2" s="61"/>
      <c r="OLK2" s="61"/>
      <c r="OLL2" s="61"/>
      <c r="OLM2" s="61"/>
      <c r="OLN2" s="61"/>
      <c r="OLO2" s="61"/>
      <c r="OLP2" s="61"/>
      <c r="OLQ2" s="61"/>
      <c r="OLR2" s="61"/>
      <c r="OLS2" s="61"/>
      <c r="OLT2" s="61"/>
      <c r="OLU2" s="61"/>
      <c r="OLV2" s="61"/>
      <c r="OLW2" s="61"/>
      <c r="OLX2" s="61"/>
      <c r="OLY2" s="61"/>
      <c r="OLZ2" s="61"/>
      <c r="OMA2" s="61"/>
      <c r="OMB2" s="61"/>
      <c r="OMC2" s="61"/>
      <c r="OMD2" s="61"/>
      <c r="OME2" s="61"/>
      <c r="OMF2" s="61"/>
      <c r="OMG2" s="61"/>
      <c r="OMH2" s="61"/>
      <c r="OMI2" s="61"/>
      <c r="OMJ2" s="61"/>
      <c r="OMK2" s="61"/>
      <c r="OML2" s="61"/>
      <c r="OMM2" s="61"/>
      <c r="OMN2" s="61"/>
      <c r="OMO2" s="61"/>
      <c r="OMP2" s="61"/>
      <c r="OMQ2" s="61"/>
      <c r="OMR2" s="61"/>
      <c r="OMS2" s="61"/>
      <c r="OMT2" s="61"/>
      <c r="OMU2" s="61"/>
      <c r="OMV2" s="61"/>
      <c r="OMW2" s="61"/>
      <c r="OMX2" s="61"/>
      <c r="OMY2" s="61"/>
      <c r="OMZ2" s="61"/>
      <c r="ONA2" s="61"/>
      <c r="ONB2" s="61"/>
      <c r="ONC2" s="61"/>
      <c r="OND2" s="61"/>
      <c r="ONE2" s="61"/>
      <c r="ONF2" s="61"/>
      <c r="ONG2" s="61"/>
      <c r="ONH2" s="61"/>
      <c r="ONI2" s="61"/>
      <c r="ONJ2" s="61"/>
      <c r="ONK2" s="61"/>
      <c r="ONL2" s="61"/>
      <c r="ONM2" s="61"/>
      <c r="ONN2" s="61"/>
      <c r="ONO2" s="61"/>
      <c r="ONP2" s="61"/>
      <c r="ONQ2" s="61"/>
      <c r="ONR2" s="61"/>
      <c r="ONS2" s="61"/>
      <c r="ONT2" s="61"/>
      <c r="ONU2" s="61"/>
      <c r="ONV2" s="61"/>
      <c r="ONW2" s="61"/>
      <c r="ONX2" s="61"/>
      <c r="ONY2" s="61"/>
      <c r="ONZ2" s="61"/>
      <c r="OOA2" s="61"/>
      <c r="OOB2" s="61"/>
      <c r="OOC2" s="61"/>
      <c r="OOD2" s="61"/>
      <c r="OOE2" s="61"/>
      <c r="OOF2" s="61"/>
      <c r="OOG2" s="61"/>
      <c r="OOH2" s="61"/>
      <c r="OOI2" s="61"/>
      <c r="OOJ2" s="61"/>
      <c r="OOK2" s="61"/>
      <c r="OOL2" s="61"/>
      <c r="OOM2" s="61"/>
      <c r="OON2" s="61"/>
      <c r="OOO2" s="61"/>
      <c r="OOP2" s="61"/>
      <c r="OOQ2" s="61"/>
      <c r="OOR2" s="61"/>
      <c r="OOS2" s="61"/>
      <c r="OOT2" s="61"/>
      <c r="OOU2" s="61"/>
      <c r="OOV2" s="61"/>
      <c r="OOW2" s="61"/>
      <c r="OOX2" s="61"/>
      <c r="OOY2" s="61"/>
      <c r="OOZ2" s="61"/>
      <c r="OPA2" s="61"/>
      <c r="OPB2" s="61"/>
      <c r="OPC2" s="61"/>
      <c r="OPD2" s="61"/>
      <c r="OPE2" s="61"/>
      <c r="OPF2" s="61"/>
      <c r="OPG2" s="61"/>
      <c r="OPH2" s="61"/>
      <c r="OPI2" s="61"/>
      <c r="OPJ2" s="61"/>
      <c r="OPK2" s="61"/>
      <c r="OPL2" s="61"/>
      <c r="OPM2" s="61"/>
      <c r="OPN2" s="61"/>
      <c r="OPO2" s="61"/>
      <c r="OPP2" s="61"/>
      <c r="OPQ2" s="61"/>
      <c r="OPR2" s="61"/>
      <c r="OPS2" s="61"/>
      <c r="OPT2" s="61"/>
      <c r="OPU2" s="61"/>
      <c r="OPV2" s="61"/>
      <c r="OPW2" s="61"/>
      <c r="OPX2" s="61"/>
      <c r="OPY2" s="61"/>
      <c r="OPZ2" s="61"/>
      <c r="OQA2" s="61"/>
      <c r="OQB2" s="61"/>
      <c r="OQC2" s="61"/>
      <c r="OQD2" s="61"/>
      <c r="OQE2" s="61"/>
      <c r="OQF2" s="61"/>
      <c r="OQG2" s="61"/>
      <c r="OQH2" s="61"/>
      <c r="OQI2" s="61"/>
      <c r="OQJ2" s="61"/>
      <c r="OQK2" s="61"/>
      <c r="OQL2" s="61"/>
      <c r="OQM2" s="61"/>
      <c r="OQN2" s="61"/>
      <c r="OQO2" s="61"/>
      <c r="OQP2" s="61"/>
      <c r="OQQ2" s="61"/>
      <c r="OQR2" s="61"/>
      <c r="OQS2" s="61"/>
      <c r="OQT2" s="61"/>
      <c r="OQU2" s="61"/>
      <c r="OQV2" s="61"/>
      <c r="OQW2" s="61"/>
      <c r="OQX2" s="61"/>
      <c r="OQY2" s="61"/>
      <c r="OQZ2" s="61"/>
      <c r="ORA2" s="61"/>
      <c r="ORB2" s="61"/>
      <c r="ORC2" s="61"/>
      <c r="ORD2" s="61"/>
      <c r="ORE2" s="61"/>
      <c r="ORF2" s="61"/>
      <c r="ORG2" s="61"/>
      <c r="ORH2" s="61"/>
      <c r="ORI2" s="61"/>
      <c r="ORJ2" s="61"/>
      <c r="ORK2" s="61"/>
      <c r="ORL2" s="61"/>
      <c r="ORM2" s="61"/>
      <c r="ORN2" s="61"/>
      <c r="ORO2" s="61"/>
      <c r="ORP2" s="61"/>
      <c r="ORQ2" s="61"/>
      <c r="ORR2" s="61"/>
      <c r="ORS2" s="61"/>
      <c r="ORT2" s="61"/>
      <c r="ORU2" s="61"/>
      <c r="ORV2" s="61"/>
      <c r="ORW2" s="61"/>
      <c r="ORX2" s="61"/>
      <c r="ORY2" s="61"/>
      <c r="ORZ2" s="61"/>
      <c r="OSA2" s="61"/>
      <c r="OSB2" s="61"/>
      <c r="OSC2" s="61"/>
      <c r="OSD2" s="61"/>
      <c r="OSE2" s="61"/>
      <c r="OSF2" s="61"/>
      <c r="OSG2" s="61"/>
      <c r="OSH2" s="61"/>
      <c r="OSI2" s="61"/>
      <c r="OSJ2" s="61"/>
      <c r="OSK2" s="61"/>
      <c r="OSL2" s="61"/>
      <c r="OSM2" s="61"/>
      <c r="OSN2" s="61"/>
      <c r="OSO2" s="61"/>
      <c r="OSP2" s="61"/>
      <c r="OSQ2" s="61"/>
      <c r="OSR2" s="61"/>
      <c r="OSS2" s="61"/>
      <c r="OST2" s="61"/>
      <c r="OSU2" s="61"/>
      <c r="OSV2" s="61"/>
      <c r="OSW2" s="61"/>
      <c r="OSX2" s="61"/>
      <c r="OSY2" s="61"/>
      <c r="OSZ2" s="61"/>
      <c r="OTA2" s="61"/>
      <c r="OTB2" s="61"/>
      <c r="OTC2" s="61"/>
      <c r="OTD2" s="61"/>
      <c r="OTE2" s="61"/>
      <c r="OTF2" s="61"/>
      <c r="OTG2" s="61"/>
      <c r="OTH2" s="61"/>
      <c r="OTI2" s="61"/>
      <c r="OTJ2" s="61"/>
      <c r="OTK2" s="61"/>
      <c r="OTL2" s="61"/>
      <c r="OTM2" s="61"/>
      <c r="OTN2" s="61"/>
      <c r="OTO2" s="61"/>
      <c r="OTP2" s="61"/>
      <c r="OTQ2" s="61"/>
      <c r="OTR2" s="61"/>
      <c r="OTS2" s="61"/>
      <c r="OTT2" s="61"/>
      <c r="OTU2" s="61"/>
      <c r="OTV2" s="61"/>
      <c r="OTW2" s="61"/>
      <c r="OTX2" s="61"/>
      <c r="OTY2" s="61"/>
      <c r="OTZ2" s="61"/>
      <c r="OUA2" s="61"/>
      <c r="OUB2" s="61"/>
      <c r="OUC2" s="61"/>
      <c r="OUD2" s="61"/>
      <c r="OUE2" s="61"/>
      <c r="OUF2" s="61"/>
      <c r="OUG2" s="61"/>
      <c r="OUH2" s="61"/>
      <c r="OUI2" s="61"/>
      <c r="OUJ2" s="61"/>
      <c r="OUK2" s="61"/>
      <c r="OUL2" s="61"/>
      <c r="OUM2" s="61"/>
      <c r="OUN2" s="61"/>
      <c r="OUO2" s="61"/>
      <c r="OUP2" s="61"/>
      <c r="OUQ2" s="61"/>
      <c r="OUR2" s="61"/>
      <c r="OUS2" s="61"/>
      <c r="OUT2" s="61"/>
      <c r="OUU2" s="61"/>
      <c r="OUV2" s="61"/>
      <c r="OUW2" s="61"/>
      <c r="OUX2" s="61"/>
      <c r="OUY2" s="61"/>
      <c r="OUZ2" s="61"/>
      <c r="OVA2" s="61"/>
      <c r="OVB2" s="61"/>
      <c r="OVC2" s="61"/>
      <c r="OVD2" s="61"/>
      <c r="OVE2" s="61"/>
      <c r="OVF2" s="61"/>
      <c r="OVG2" s="61"/>
      <c r="OVH2" s="61"/>
      <c r="OVI2" s="61"/>
      <c r="OVJ2" s="61"/>
      <c r="OVK2" s="61"/>
      <c r="OVL2" s="61"/>
      <c r="OVM2" s="61"/>
      <c r="OVN2" s="61"/>
      <c r="OVO2" s="61"/>
      <c r="OVP2" s="61"/>
      <c r="OVQ2" s="61"/>
      <c r="OVR2" s="61"/>
      <c r="OVS2" s="61"/>
      <c r="OVT2" s="61"/>
      <c r="OVU2" s="61"/>
      <c r="OVV2" s="61"/>
      <c r="OVW2" s="61"/>
      <c r="OVX2" s="61"/>
      <c r="OVY2" s="61"/>
      <c r="OVZ2" s="61"/>
      <c r="OWA2" s="61"/>
      <c r="OWB2" s="61"/>
      <c r="OWC2" s="61"/>
      <c r="OWD2" s="61"/>
      <c r="OWE2" s="61"/>
      <c r="OWF2" s="61"/>
      <c r="OWG2" s="61"/>
      <c r="OWH2" s="61"/>
      <c r="OWI2" s="61"/>
      <c r="OWJ2" s="61"/>
      <c r="OWK2" s="61"/>
      <c r="OWL2" s="61"/>
      <c r="OWM2" s="61"/>
      <c r="OWN2" s="61"/>
      <c r="OWO2" s="61"/>
      <c r="OWP2" s="61"/>
      <c r="OWQ2" s="61"/>
      <c r="OWR2" s="61"/>
      <c r="OWS2" s="61"/>
      <c r="OWT2" s="61"/>
      <c r="OWU2" s="61"/>
      <c r="OWV2" s="61"/>
      <c r="OWW2" s="61"/>
      <c r="OWX2" s="61"/>
      <c r="OWY2" s="61"/>
      <c r="OWZ2" s="61"/>
      <c r="OXA2" s="61"/>
      <c r="OXB2" s="61"/>
      <c r="OXC2" s="61"/>
      <c r="OXD2" s="61"/>
      <c r="OXE2" s="61"/>
      <c r="OXF2" s="61"/>
      <c r="OXG2" s="61"/>
      <c r="OXH2" s="61"/>
      <c r="OXI2" s="61"/>
      <c r="OXJ2" s="61"/>
      <c r="OXK2" s="61"/>
      <c r="OXL2" s="61"/>
      <c r="OXM2" s="61"/>
      <c r="OXN2" s="61"/>
      <c r="OXO2" s="61"/>
      <c r="OXP2" s="61"/>
      <c r="OXQ2" s="61"/>
      <c r="OXR2" s="61"/>
      <c r="OXS2" s="61"/>
      <c r="OXT2" s="61"/>
      <c r="OXU2" s="61"/>
      <c r="OXV2" s="61"/>
      <c r="OXW2" s="61"/>
      <c r="OXX2" s="61"/>
      <c r="OXY2" s="61"/>
      <c r="OXZ2" s="61"/>
      <c r="OYA2" s="61"/>
      <c r="OYB2" s="61"/>
      <c r="OYC2" s="61"/>
      <c r="OYD2" s="61"/>
      <c r="OYE2" s="61"/>
      <c r="OYF2" s="61"/>
      <c r="OYG2" s="61"/>
      <c r="OYH2" s="61"/>
      <c r="OYI2" s="61"/>
      <c r="OYJ2" s="61"/>
      <c r="OYK2" s="61"/>
      <c r="OYL2" s="61"/>
      <c r="OYM2" s="61"/>
      <c r="OYN2" s="61"/>
      <c r="OYO2" s="61"/>
      <c r="OYP2" s="61"/>
      <c r="OYQ2" s="61"/>
      <c r="OYR2" s="61"/>
      <c r="OYS2" s="61"/>
      <c r="OYT2" s="61"/>
      <c r="OYU2" s="61"/>
      <c r="OYV2" s="61"/>
      <c r="OYW2" s="61"/>
      <c r="OYX2" s="61"/>
      <c r="OYY2" s="61"/>
      <c r="OYZ2" s="61"/>
      <c r="OZA2" s="61"/>
      <c r="OZB2" s="61"/>
      <c r="OZC2" s="61"/>
      <c r="OZD2" s="61"/>
      <c r="OZE2" s="61"/>
      <c r="OZF2" s="61"/>
      <c r="OZG2" s="61"/>
      <c r="OZH2" s="61"/>
      <c r="OZI2" s="61"/>
      <c r="OZJ2" s="61"/>
      <c r="OZK2" s="61"/>
      <c r="OZL2" s="61"/>
      <c r="OZM2" s="61"/>
      <c r="OZN2" s="61"/>
      <c r="OZO2" s="61"/>
      <c r="OZP2" s="61"/>
      <c r="OZQ2" s="61"/>
      <c r="OZR2" s="61"/>
      <c r="OZS2" s="61"/>
      <c r="OZT2" s="61"/>
      <c r="OZU2" s="61"/>
      <c r="OZV2" s="61"/>
      <c r="OZW2" s="61"/>
      <c r="OZX2" s="61"/>
      <c r="OZY2" s="61"/>
      <c r="OZZ2" s="61"/>
      <c r="PAA2" s="61"/>
      <c r="PAB2" s="61"/>
      <c r="PAC2" s="61"/>
      <c r="PAD2" s="61"/>
      <c r="PAE2" s="61"/>
      <c r="PAF2" s="61"/>
      <c r="PAG2" s="61"/>
      <c r="PAH2" s="61"/>
      <c r="PAI2" s="61"/>
      <c r="PAJ2" s="61"/>
      <c r="PAK2" s="61"/>
      <c r="PAL2" s="61"/>
      <c r="PAM2" s="61"/>
      <c r="PAN2" s="61"/>
      <c r="PAO2" s="61"/>
      <c r="PAP2" s="61"/>
      <c r="PAQ2" s="61"/>
      <c r="PAR2" s="61"/>
      <c r="PAS2" s="61"/>
      <c r="PAT2" s="61"/>
      <c r="PAU2" s="61"/>
      <c r="PAV2" s="61"/>
      <c r="PAW2" s="61"/>
      <c r="PAX2" s="61"/>
      <c r="PAY2" s="61"/>
      <c r="PAZ2" s="61"/>
      <c r="PBA2" s="61"/>
      <c r="PBB2" s="61"/>
      <c r="PBC2" s="61"/>
      <c r="PBD2" s="61"/>
      <c r="PBE2" s="61"/>
      <c r="PBF2" s="61"/>
      <c r="PBG2" s="61"/>
      <c r="PBH2" s="61"/>
      <c r="PBI2" s="61"/>
      <c r="PBJ2" s="61"/>
      <c r="PBK2" s="61"/>
      <c r="PBL2" s="61"/>
      <c r="PBM2" s="61"/>
      <c r="PBN2" s="61"/>
      <c r="PBO2" s="61"/>
      <c r="PBP2" s="61"/>
      <c r="PBQ2" s="61"/>
      <c r="PBR2" s="61"/>
      <c r="PBS2" s="61"/>
      <c r="PBT2" s="61"/>
      <c r="PBU2" s="61"/>
      <c r="PBV2" s="61"/>
      <c r="PBW2" s="61"/>
      <c r="PBX2" s="61"/>
      <c r="PBY2" s="61"/>
      <c r="PBZ2" s="61"/>
      <c r="PCA2" s="61"/>
      <c r="PCB2" s="61"/>
      <c r="PCC2" s="61"/>
      <c r="PCD2" s="61"/>
      <c r="PCE2" s="61"/>
      <c r="PCF2" s="61"/>
      <c r="PCG2" s="61"/>
      <c r="PCH2" s="61"/>
      <c r="PCI2" s="61"/>
      <c r="PCJ2" s="61"/>
      <c r="PCK2" s="61"/>
      <c r="PCL2" s="61"/>
      <c r="PCM2" s="61"/>
      <c r="PCN2" s="61"/>
      <c r="PCO2" s="61"/>
      <c r="PCP2" s="61"/>
      <c r="PCQ2" s="61"/>
      <c r="PCR2" s="61"/>
      <c r="PCS2" s="61"/>
      <c r="PCT2" s="61"/>
      <c r="PCU2" s="61"/>
      <c r="PCV2" s="61"/>
      <c r="PCW2" s="61"/>
      <c r="PCX2" s="61"/>
      <c r="PCY2" s="61"/>
      <c r="PCZ2" s="61"/>
      <c r="PDA2" s="61"/>
      <c r="PDB2" s="61"/>
      <c r="PDC2" s="61"/>
      <c r="PDD2" s="61"/>
      <c r="PDE2" s="61"/>
      <c r="PDF2" s="61"/>
      <c r="PDG2" s="61"/>
      <c r="PDH2" s="61"/>
      <c r="PDI2" s="61"/>
      <c r="PDJ2" s="61"/>
      <c r="PDK2" s="61"/>
      <c r="PDL2" s="61"/>
      <c r="PDM2" s="61"/>
      <c r="PDN2" s="61"/>
      <c r="PDO2" s="61"/>
      <c r="PDP2" s="61"/>
      <c r="PDQ2" s="61"/>
      <c r="PDR2" s="61"/>
      <c r="PDS2" s="61"/>
      <c r="PDT2" s="61"/>
      <c r="PDU2" s="61"/>
      <c r="PDV2" s="61"/>
      <c r="PDW2" s="61"/>
      <c r="PDX2" s="61"/>
      <c r="PDY2" s="61"/>
      <c r="PDZ2" s="61"/>
      <c r="PEA2" s="61"/>
      <c r="PEB2" s="61"/>
      <c r="PEC2" s="61"/>
      <c r="PED2" s="61"/>
      <c r="PEE2" s="61"/>
      <c r="PEF2" s="61"/>
      <c r="PEG2" s="61"/>
      <c r="PEH2" s="61"/>
      <c r="PEI2" s="61"/>
      <c r="PEJ2" s="61"/>
      <c r="PEK2" s="61"/>
      <c r="PEL2" s="61"/>
      <c r="PEM2" s="61"/>
      <c r="PEN2" s="61"/>
      <c r="PEO2" s="61"/>
      <c r="PEP2" s="61"/>
      <c r="PEQ2" s="61"/>
      <c r="PER2" s="61"/>
      <c r="PES2" s="61"/>
      <c r="PET2" s="61"/>
      <c r="PEU2" s="61"/>
      <c r="PEV2" s="61"/>
      <c r="PEW2" s="61"/>
      <c r="PEX2" s="61"/>
      <c r="PEY2" s="61"/>
      <c r="PEZ2" s="61"/>
      <c r="PFA2" s="61"/>
      <c r="PFB2" s="61"/>
      <c r="PFC2" s="61"/>
      <c r="PFD2" s="61"/>
      <c r="PFE2" s="61"/>
      <c r="PFF2" s="61"/>
      <c r="PFG2" s="61"/>
      <c r="PFH2" s="61"/>
      <c r="PFI2" s="61"/>
      <c r="PFJ2" s="61"/>
      <c r="PFK2" s="61"/>
      <c r="PFL2" s="61"/>
      <c r="PFM2" s="61"/>
      <c r="PFN2" s="61"/>
      <c r="PFO2" s="61"/>
      <c r="PFP2" s="61"/>
      <c r="PFQ2" s="61"/>
      <c r="PFR2" s="61"/>
      <c r="PFS2" s="61"/>
      <c r="PFT2" s="61"/>
      <c r="PFU2" s="61"/>
      <c r="PFV2" s="61"/>
      <c r="PFW2" s="61"/>
      <c r="PFX2" s="61"/>
      <c r="PFY2" s="61"/>
      <c r="PFZ2" s="61"/>
      <c r="PGA2" s="61"/>
      <c r="PGB2" s="61"/>
      <c r="PGC2" s="61"/>
      <c r="PGD2" s="61"/>
      <c r="PGE2" s="61"/>
      <c r="PGF2" s="61"/>
      <c r="PGG2" s="61"/>
      <c r="PGH2" s="61"/>
      <c r="PGI2" s="61"/>
      <c r="PGJ2" s="61"/>
      <c r="PGK2" s="61"/>
      <c r="PGL2" s="61"/>
      <c r="PGM2" s="61"/>
      <c r="PGN2" s="61"/>
      <c r="PGO2" s="61"/>
      <c r="PGP2" s="61"/>
      <c r="PGQ2" s="61"/>
      <c r="PGR2" s="61"/>
      <c r="PGS2" s="61"/>
      <c r="PGT2" s="61"/>
      <c r="PGU2" s="61"/>
      <c r="PGV2" s="61"/>
      <c r="PGW2" s="61"/>
      <c r="PGX2" s="61"/>
      <c r="PGY2" s="61"/>
      <c r="PGZ2" s="61"/>
      <c r="PHA2" s="61"/>
      <c r="PHB2" s="61"/>
      <c r="PHC2" s="61"/>
      <c r="PHD2" s="61"/>
      <c r="PHE2" s="61"/>
      <c r="PHF2" s="61"/>
      <c r="PHG2" s="61"/>
      <c r="PHH2" s="61"/>
      <c r="PHI2" s="61"/>
      <c r="PHJ2" s="61"/>
      <c r="PHK2" s="61"/>
      <c r="PHL2" s="61"/>
      <c r="PHM2" s="61"/>
      <c r="PHN2" s="61"/>
      <c r="PHO2" s="61"/>
      <c r="PHP2" s="61"/>
      <c r="PHQ2" s="61"/>
      <c r="PHR2" s="61"/>
      <c r="PHS2" s="61"/>
      <c r="PHT2" s="61"/>
      <c r="PHU2" s="61"/>
      <c r="PHV2" s="61"/>
      <c r="PHW2" s="61"/>
      <c r="PHX2" s="61"/>
      <c r="PHY2" s="61"/>
      <c r="PHZ2" s="61"/>
      <c r="PIA2" s="61"/>
      <c r="PIB2" s="61"/>
      <c r="PIC2" s="61"/>
      <c r="PID2" s="61"/>
      <c r="PIE2" s="61"/>
      <c r="PIF2" s="61"/>
      <c r="PIG2" s="61"/>
      <c r="PIH2" s="61"/>
      <c r="PII2" s="61"/>
      <c r="PIJ2" s="61"/>
      <c r="PIK2" s="61"/>
      <c r="PIL2" s="61"/>
      <c r="PIM2" s="61"/>
      <c r="PIN2" s="61"/>
      <c r="PIO2" s="61"/>
      <c r="PIP2" s="61"/>
      <c r="PIQ2" s="61"/>
      <c r="PIR2" s="61"/>
      <c r="PIS2" s="61"/>
      <c r="PIT2" s="61"/>
      <c r="PIU2" s="61"/>
      <c r="PIV2" s="61"/>
      <c r="PIW2" s="61"/>
      <c r="PIX2" s="61"/>
      <c r="PIY2" s="61"/>
      <c r="PIZ2" s="61"/>
      <c r="PJA2" s="61"/>
      <c r="PJB2" s="61"/>
      <c r="PJC2" s="61"/>
      <c r="PJD2" s="61"/>
      <c r="PJE2" s="61"/>
      <c r="PJF2" s="61"/>
      <c r="PJG2" s="61"/>
      <c r="PJH2" s="61"/>
      <c r="PJI2" s="61"/>
      <c r="PJJ2" s="61"/>
      <c r="PJK2" s="61"/>
      <c r="PJL2" s="61"/>
      <c r="PJM2" s="61"/>
      <c r="PJN2" s="61"/>
      <c r="PJO2" s="61"/>
      <c r="PJP2" s="61"/>
      <c r="PJQ2" s="61"/>
      <c r="PJR2" s="61"/>
      <c r="PJS2" s="61"/>
      <c r="PJT2" s="61"/>
      <c r="PJU2" s="61"/>
      <c r="PJV2" s="61"/>
      <c r="PJW2" s="61"/>
      <c r="PJX2" s="61"/>
      <c r="PJY2" s="61"/>
      <c r="PJZ2" s="61"/>
      <c r="PKA2" s="61"/>
      <c r="PKB2" s="61"/>
      <c r="PKC2" s="61"/>
      <c r="PKD2" s="61"/>
      <c r="PKE2" s="61"/>
      <c r="PKF2" s="61"/>
      <c r="PKG2" s="61"/>
      <c r="PKH2" s="61"/>
      <c r="PKI2" s="61"/>
      <c r="PKJ2" s="61"/>
      <c r="PKK2" s="61"/>
      <c r="PKL2" s="61"/>
      <c r="PKM2" s="61"/>
      <c r="PKN2" s="61"/>
      <c r="PKO2" s="61"/>
      <c r="PKP2" s="61"/>
      <c r="PKQ2" s="61"/>
      <c r="PKR2" s="61"/>
      <c r="PKS2" s="61"/>
      <c r="PKT2" s="61"/>
      <c r="PKU2" s="61"/>
      <c r="PKV2" s="61"/>
      <c r="PKW2" s="61"/>
      <c r="PKX2" s="61"/>
      <c r="PKY2" s="61"/>
      <c r="PKZ2" s="61"/>
      <c r="PLA2" s="61"/>
      <c r="PLB2" s="61"/>
      <c r="PLC2" s="61"/>
      <c r="PLD2" s="61"/>
      <c r="PLE2" s="61"/>
      <c r="PLF2" s="61"/>
      <c r="PLG2" s="61"/>
      <c r="PLH2" s="61"/>
      <c r="PLI2" s="61"/>
      <c r="PLJ2" s="61"/>
      <c r="PLK2" s="61"/>
      <c r="PLL2" s="61"/>
      <c r="PLM2" s="61"/>
      <c r="PLN2" s="61"/>
      <c r="PLO2" s="61"/>
      <c r="PLP2" s="61"/>
      <c r="PLQ2" s="61"/>
      <c r="PLR2" s="61"/>
      <c r="PLS2" s="61"/>
      <c r="PLT2" s="61"/>
      <c r="PLU2" s="61"/>
      <c r="PLV2" s="61"/>
      <c r="PLW2" s="61"/>
      <c r="PLX2" s="61"/>
      <c r="PLY2" s="61"/>
      <c r="PLZ2" s="61"/>
      <c r="PMA2" s="61"/>
      <c r="PMB2" s="61"/>
      <c r="PMC2" s="61"/>
      <c r="PMD2" s="61"/>
      <c r="PME2" s="61"/>
      <c r="PMF2" s="61"/>
      <c r="PMG2" s="61"/>
      <c r="PMH2" s="61"/>
      <c r="PMI2" s="61"/>
      <c r="PMJ2" s="61"/>
      <c r="PMK2" s="61"/>
      <c r="PML2" s="61"/>
      <c r="PMM2" s="61"/>
      <c r="PMN2" s="61"/>
      <c r="PMO2" s="61"/>
      <c r="PMP2" s="61"/>
      <c r="PMQ2" s="61"/>
      <c r="PMR2" s="61"/>
      <c r="PMS2" s="61"/>
      <c r="PMT2" s="61"/>
      <c r="PMU2" s="61"/>
      <c r="PMV2" s="61"/>
      <c r="PMW2" s="61"/>
      <c r="PMX2" s="61"/>
      <c r="PMY2" s="61"/>
      <c r="PMZ2" s="61"/>
      <c r="PNA2" s="61"/>
      <c r="PNB2" s="61"/>
      <c r="PNC2" s="61"/>
      <c r="PND2" s="61"/>
      <c r="PNE2" s="61"/>
      <c r="PNF2" s="61"/>
      <c r="PNG2" s="61"/>
      <c r="PNH2" s="61"/>
      <c r="PNI2" s="61"/>
      <c r="PNJ2" s="61"/>
      <c r="PNK2" s="61"/>
      <c r="PNL2" s="61"/>
      <c r="PNM2" s="61"/>
      <c r="PNN2" s="61"/>
      <c r="PNO2" s="61"/>
      <c r="PNP2" s="61"/>
      <c r="PNQ2" s="61"/>
      <c r="PNR2" s="61"/>
      <c r="PNS2" s="61"/>
      <c r="PNT2" s="61"/>
      <c r="PNU2" s="61"/>
      <c r="PNV2" s="61"/>
      <c r="PNW2" s="61"/>
      <c r="PNX2" s="61"/>
      <c r="PNY2" s="61"/>
      <c r="PNZ2" s="61"/>
      <c r="POA2" s="61"/>
      <c r="POB2" s="61"/>
      <c r="POC2" s="61"/>
      <c r="POD2" s="61"/>
      <c r="POE2" s="61"/>
      <c r="POF2" s="61"/>
      <c r="POG2" s="61"/>
      <c r="POH2" s="61"/>
      <c r="POI2" s="61"/>
      <c r="POJ2" s="61"/>
      <c r="POK2" s="61"/>
      <c r="POL2" s="61"/>
      <c r="POM2" s="61"/>
      <c r="PON2" s="61"/>
      <c r="POO2" s="61"/>
      <c r="POP2" s="61"/>
      <c r="POQ2" s="61"/>
      <c r="POR2" s="61"/>
      <c r="POS2" s="61"/>
      <c r="POT2" s="61"/>
      <c r="POU2" s="61"/>
      <c r="POV2" s="61"/>
      <c r="POW2" s="61"/>
      <c r="POX2" s="61"/>
      <c r="POY2" s="61"/>
      <c r="POZ2" s="61"/>
      <c r="PPA2" s="61"/>
      <c r="PPB2" s="61"/>
      <c r="PPC2" s="61"/>
      <c r="PPD2" s="61"/>
      <c r="PPE2" s="61"/>
      <c r="PPF2" s="61"/>
      <c r="PPG2" s="61"/>
      <c r="PPH2" s="61"/>
      <c r="PPI2" s="61"/>
      <c r="PPJ2" s="61"/>
      <c r="PPK2" s="61"/>
      <c r="PPL2" s="61"/>
      <c r="PPM2" s="61"/>
      <c r="PPN2" s="61"/>
      <c r="PPO2" s="61"/>
      <c r="PPP2" s="61"/>
      <c r="PPQ2" s="61"/>
      <c r="PPR2" s="61"/>
      <c r="PPS2" s="61"/>
      <c r="PPT2" s="61"/>
      <c r="PPU2" s="61"/>
      <c r="PPV2" s="61"/>
      <c r="PPW2" s="61"/>
      <c r="PPX2" s="61"/>
      <c r="PPY2" s="61"/>
      <c r="PPZ2" s="61"/>
      <c r="PQA2" s="61"/>
      <c r="PQB2" s="61"/>
      <c r="PQC2" s="61"/>
      <c r="PQD2" s="61"/>
      <c r="PQE2" s="61"/>
      <c r="PQF2" s="61"/>
      <c r="PQG2" s="61"/>
      <c r="PQH2" s="61"/>
      <c r="PQI2" s="61"/>
      <c r="PQJ2" s="61"/>
      <c r="PQK2" s="61"/>
      <c r="PQL2" s="61"/>
      <c r="PQM2" s="61"/>
      <c r="PQN2" s="61"/>
      <c r="PQO2" s="61"/>
      <c r="PQP2" s="61"/>
      <c r="PQQ2" s="61"/>
      <c r="PQR2" s="61"/>
      <c r="PQS2" s="61"/>
      <c r="PQT2" s="61"/>
      <c r="PQU2" s="61"/>
      <c r="PQV2" s="61"/>
      <c r="PQW2" s="61"/>
      <c r="PQX2" s="61"/>
      <c r="PQY2" s="61"/>
      <c r="PQZ2" s="61"/>
      <c r="PRA2" s="61"/>
      <c r="PRB2" s="61"/>
      <c r="PRC2" s="61"/>
      <c r="PRD2" s="61"/>
      <c r="PRE2" s="61"/>
      <c r="PRF2" s="61"/>
      <c r="PRG2" s="61"/>
      <c r="PRH2" s="61"/>
      <c r="PRI2" s="61"/>
      <c r="PRJ2" s="61"/>
      <c r="PRK2" s="61"/>
      <c r="PRL2" s="61"/>
      <c r="PRM2" s="61"/>
      <c r="PRN2" s="61"/>
      <c r="PRO2" s="61"/>
      <c r="PRP2" s="61"/>
      <c r="PRQ2" s="61"/>
      <c r="PRR2" s="61"/>
      <c r="PRS2" s="61"/>
      <c r="PRT2" s="61"/>
      <c r="PRU2" s="61"/>
      <c r="PRV2" s="61"/>
      <c r="PRW2" s="61"/>
      <c r="PRX2" s="61"/>
      <c r="PRY2" s="61"/>
      <c r="PRZ2" s="61"/>
      <c r="PSA2" s="61"/>
      <c r="PSB2" s="61"/>
      <c r="PSC2" s="61"/>
      <c r="PSD2" s="61"/>
      <c r="PSE2" s="61"/>
      <c r="PSF2" s="61"/>
      <c r="PSG2" s="61"/>
      <c r="PSH2" s="61"/>
      <c r="PSI2" s="61"/>
      <c r="PSJ2" s="61"/>
      <c r="PSK2" s="61"/>
      <c r="PSL2" s="61"/>
      <c r="PSM2" s="61"/>
      <c r="PSN2" s="61"/>
      <c r="PSO2" s="61"/>
      <c r="PSP2" s="61"/>
      <c r="PSQ2" s="61"/>
      <c r="PSR2" s="61"/>
      <c r="PSS2" s="61"/>
      <c r="PST2" s="61"/>
      <c r="PSU2" s="61"/>
      <c r="PSV2" s="61"/>
      <c r="PSW2" s="61"/>
      <c r="PSX2" s="61"/>
      <c r="PSY2" s="61"/>
      <c r="PSZ2" s="61"/>
      <c r="PTA2" s="61"/>
      <c r="PTB2" s="61"/>
      <c r="PTC2" s="61"/>
      <c r="PTD2" s="61"/>
      <c r="PTE2" s="61"/>
      <c r="PTF2" s="61"/>
      <c r="PTG2" s="61"/>
      <c r="PTH2" s="61"/>
      <c r="PTI2" s="61"/>
      <c r="PTJ2" s="61"/>
      <c r="PTK2" s="61"/>
      <c r="PTL2" s="61"/>
      <c r="PTM2" s="61"/>
      <c r="PTN2" s="61"/>
      <c r="PTO2" s="61"/>
      <c r="PTP2" s="61"/>
      <c r="PTQ2" s="61"/>
      <c r="PTR2" s="61"/>
      <c r="PTS2" s="61"/>
      <c r="PTT2" s="61"/>
      <c r="PTU2" s="61"/>
      <c r="PTV2" s="61"/>
      <c r="PTW2" s="61"/>
      <c r="PTX2" s="61"/>
      <c r="PTY2" s="61"/>
      <c r="PTZ2" s="61"/>
      <c r="PUA2" s="61"/>
      <c r="PUB2" s="61"/>
      <c r="PUC2" s="61"/>
      <c r="PUD2" s="61"/>
      <c r="PUE2" s="61"/>
      <c r="PUF2" s="61"/>
      <c r="PUG2" s="61"/>
      <c r="PUH2" s="61"/>
      <c r="PUI2" s="61"/>
      <c r="PUJ2" s="61"/>
      <c r="PUK2" s="61"/>
      <c r="PUL2" s="61"/>
      <c r="PUM2" s="61"/>
      <c r="PUN2" s="61"/>
      <c r="PUO2" s="61"/>
      <c r="PUP2" s="61"/>
      <c r="PUQ2" s="61"/>
      <c r="PUR2" s="61"/>
      <c r="PUS2" s="61"/>
      <c r="PUT2" s="61"/>
      <c r="PUU2" s="61"/>
      <c r="PUV2" s="61"/>
      <c r="PUW2" s="61"/>
      <c r="PUX2" s="61"/>
      <c r="PUY2" s="61"/>
      <c r="PUZ2" s="61"/>
      <c r="PVA2" s="61"/>
      <c r="PVB2" s="61"/>
      <c r="PVC2" s="61"/>
      <c r="PVD2" s="61"/>
      <c r="PVE2" s="61"/>
      <c r="PVF2" s="61"/>
      <c r="PVG2" s="61"/>
      <c r="PVH2" s="61"/>
      <c r="PVI2" s="61"/>
      <c r="PVJ2" s="61"/>
      <c r="PVK2" s="61"/>
      <c r="PVL2" s="61"/>
      <c r="PVM2" s="61"/>
      <c r="PVN2" s="61"/>
      <c r="PVO2" s="61"/>
      <c r="PVP2" s="61"/>
      <c r="PVQ2" s="61"/>
      <c r="PVR2" s="61"/>
      <c r="PVS2" s="61"/>
      <c r="PVT2" s="61"/>
      <c r="PVU2" s="61"/>
      <c r="PVV2" s="61"/>
      <c r="PVW2" s="61"/>
      <c r="PVX2" s="61"/>
      <c r="PVY2" s="61"/>
      <c r="PVZ2" s="61"/>
      <c r="PWA2" s="61"/>
      <c r="PWB2" s="61"/>
      <c r="PWC2" s="61"/>
      <c r="PWD2" s="61"/>
      <c r="PWE2" s="61"/>
      <c r="PWF2" s="61"/>
      <c r="PWG2" s="61"/>
      <c r="PWH2" s="61"/>
      <c r="PWI2" s="61"/>
      <c r="PWJ2" s="61"/>
      <c r="PWK2" s="61"/>
      <c r="PWL2" s="61"/>
      <c r="PWM2" s="61"/>
      <c r="PWN2" s="61"/>
      <c r="PWO2" s="61"/>
      <c r="PWP2" s="61"/>
      <c r="PWQ2" s="61"/>
      <c r="PWR2" s="61"/>
      <c r="PWS2" s="61"/>
      <c r="PWT2" s="61"/>
      <c r="PWU2" s="61"/>
      <c r="PWV2" s="61"/>
      <c r="PWW2" s="61"/>
      <c r="PWX2" s="61"/>
      <c r="PWY2" s="61"/>
      <c r="PWZ2" s="61"/>
      <c r="PXA2" s="61"/>
      <c r="PXB2" s="61"/>
      <c r="PXC2" s="61"/>
      <c r="PXD2" s="61"/>
      <c r="PXE2" s="61"/>
      <c r="PXF2" s="61"/>
      <c r="PXG2" s="61"/>
      <c r="PXH2" s="61"/>
      <c r="PXI2" s="61"/>
      <c r="PXJ2" s="61"/>
      <c r="PXK2" s="61"/>
      <c r="PXL2" s="61"/>
      <c r="PXM2" s="61"/>
      <c r="PXN2" s="61"/>
      <c r="PXO2" s="61"/>
      <c r="PXP2" s="61"/>
      <c r="PXQ2" s="61"/>
      <c r="PXR2" s="61"/>
      <c r="PXS2" s="61"/>
      <c r="PXT2" s="61"/>
      <c r="PXU2" s="61"/>
      <c r="PXV2" s="61"/>
      <c r="PXW2" s="61"/>
      <c r="PXX2" s="61"/>
      <c r="PXY2" s="61"/>
      <c r="PXZ2" s="61"/>
      <c r="PYA2" s="61"/>
      <c r="PYB2" s="61"/>
      <c r="PYC2" s="61"/>
      <c r="PYD2" s="61"/>
      <c r="PYE2" s="61"/>
      <c r="PYF2" s="61"/>
      <c r="PYG2" s="61"/>
      <c r="PYH2" s="61"/>
      <c r="PYI2" s="61"/>
      <c r="PYJ2" s="61"/>
      <c r="PYK2" s="61"/>
      <c r="PYL2" s="61"/>
      <c r="PYM2" s="61"/>
      <c r="PYN2" s="61"/>
      <c r="PYO2" s="61"/>
      <c r="PYP2" s="61"/>
      <c r="PYQ2" s="61"/>
      <c r="PYR2" s="61"/>
      <c r="PYS2" s="61"/>
      <c r="PYT2" s="61"/>
      <c r="PYU2" s="61"/>
      <c r="PYV2" s="61"/>
      <c r="PYW2" s="61"/>
      <c r="PYX2" s="61"/>
      <c r="PYY2" s="61"/>
      <c r="PYZ2" s="61"/>
      <c r="PZA2" s="61"/>
      <c r="PZB2" s="61"/>
      <c r="PZC2" s="61"/>
      <c r="PZD2" s="61"/>
      <c r="PZE2" s="61"/>
      <c r="PZF2" s="61"/>
      <c r="PZG2" s="61"/>
      <c r="PZH2" s="61"/>
      <c r="PZI2" s="61"/>
      <c r="PZJ2" s="61"/>
      <c r="PZK2" s="61"/>
      <c r="PZL2" s="61"/>
      <c r="PZM2" s="61"/>
      <c r="PZN2" s="61"/>
      <c r="PZO2" s="61"/>
      <c r="PZP2" s="61"/>
      <c r="PZQ2" s="61"/>
      <c r="PZR2" s="61"/>
      <c r="PZS2" s="61"/>
      <c r="PZT2" s="61"/>
      <c r="PZU2" s="61"/>
      <c r="PZV2" s="61"/>
      <c r="PZW2" s="61"/>
      <c r="PZX2" s="61"/>
      <c r="PZY2" s="61"/>
      <c r="PZZ2" s="61"/>
      <c r="QAA2" s="61"/>
      <c r="QAB2" s="61"/>
      <c r="QAC2" s="61"/>
      <c r="QAD2" s="61"/>
      <c r="QAE2" s="61"/>
      <c r="QAF2" s="61"/>
      <c r="QAG2" s="61"/>
      <c r="QAH2" s="61"/>
      <c r="QAI2" s="61"/>
      <c r="QAJ2" s="61"/>
      <c r="QAK2" s="61"/>
      <c r="QAL2" s="61"/>
      <c r="QAM2" s="61"/>
      <c r="QAN2" s="61"/>
      <c r="QAO2" s="61"/>
      <c r="QAP2" s="61"/>
      <c r="QAQ2" s="61"/>
      <c r="QAR2" s="61"/>
      <c r="QAS2" s="61"/>
      <c r="QAT2" s="61"/>
      <c r="QAU2" s="61"/>
      <c r="QAV2" s="61"/>
      <c r="QAW2" s="61"/>
      <c r="QAX2" s="61"/>
      <c r="QAY2" s="61"/>
      <c r="QAZ2" s="61"/>
      <c r="QBA2" s="61"/>
      <c r="QBB2" s="61"/>
      <c r="QBC2" s="61"/>
      <c r="QBD2" s="61"/>
      <c r="QBE2" s="61"/>
      <c r="QBF2" s="61"/>
      <c r="QBG2" s="61"/>
      <c r="QBH2" s="61"/>
      <c r="QBI2" s="61"/>
      <c r="QBJ2" s="61"/>
      <c r="QBK2" s="61"/>
      <c r="QBL2" s="61"/>
      <c r="QBM2" s="61"/>
      <c r="QBN2" s="61"/>
      <c r="QBO2" s="61"/>
      <c r="QBP2" s="61"/>
      <c r="QBQ2" s="61"/>
      <c r="QBR2" s="61"/>
      <c r="QBS2" s="61"/>
      <c r="QBT2" s="61"/>
      <c r="QBU2" s="61"/>
      <c r="QBV2" s="61"/>
      <c r="QBW2" s="61"/>
      <c r="QBX2" s="61"/>
      <c r="QBY2" s="61"/>
      <c r="QBZ2" s="61"/>
      <c r="QCA2" s="61"/>
      <c r="QCB2" s="61"/>
      <c r="QCC2" s="61"/>
      <c r="QCD2" s="61"/>
      <c r="QCE2" s="61"/>
      <c r="QCF2" s="61"/>
      <c r="QCG2" s="61"/>
      <c r="QCH2" s="61"/>
      <c r="QCI2" s="61"/>
      <c r="QCJ2" s="61"/>
      <c r="QCK2" s="61"/>
      <c r="QCL2" s="61"/>
      <c r="QCM2" s="61"/>
      <c r="QCN2" s="61"/>
      <c r="QCO2" s="61"/>
      <c r="QCP2" s="61"/>
      <c r="QCQ2" s="61"/>
      <c r="QCR2" s="61"/>
      <c r="QCS2" s="61"/>
      <c r="QCT2" s="61"/>
      <c r="QCU2" s="61"/>
      <c r="QCV2" s="61"/>
      <c r="QCW2" s="61"/>
      <c r="QCX2" s="61"/>
      <c r="QCY2" s="61"/>
      <c r="QCZ2" s="61"/>
      <c r="QDA2" s="61"/>
      <c r="QDB2" s="61"/>
      <c r="QDC2" s="61"/>
      <c r="QDD2" s="61"/>
      <c r="QDE2" s="61"/>
      <c r="QDF2" s="61"/>
      <c r="QDG2" s="61"/>
      <c r="QDH2" s="61"/>
      <c r="QDI2" s="61"/>
      <c r="QDJ2" s="61"/>
      <c r="QDK2" s="61"/>
      <c r="QDL2" s="61"/>
      <c r="QDM2" s="61"/>
      <c r="QDN2" s="61"/>
      <c r="QDO2" s="61"/>
      <c r="QDP2" s="61"/>
      <c r="QDQ2" s="61"/>
      <c r="QDR2" s="61"/>
      <c r="QDS2" s="61"/>
      <c r="QDT2" s="61"/>
      <c r="QDU2" s="61"/>
      <c r="QDV2" s="61"/>
      <c r="QDW2" s="61"/>
      <c r="QDX2" s="61"/>
      <c r="QDY2" s="61"/>
      <c r="QDZ2" s="61"/>
      <c r="QEA2" s="61"/>
      <c r="QEB2" s="61"/>
      <c r="QEC2" s="61"/>
      <c r="QED2" s="61"/>
      <c r="QEE2" s="61"/>
      <c r="QEF2" s="61"/>
      <c r="QEG2" s="61"/>
      <c r="QEH2" s="61"/>
      <c r="QEI2" s="61"/>
      <c r="QEJ2" s="61"/>
      <c r="QEK2" s="61"/>
      <c r="QEL2" s="61"/>
      <c r="QEM2" s="61"/>
      <c r="QEN2" s="61"/>
      <c r="QEO2" s="61"/>
      <c r="QEP2" s="61"/>
      <c r="QEQ2" s="61"/>
      <c r="QER2" s="61"/>
      <c r="QES2" s="61"/>
      <c r="QET2" s="61"/>
      <c r="QEU2" s="61"/>
      <c r="QEV2" s="61"/>
      <c r="QEW2" s="61"/>
      <c r="QEX2" s="61"/>
      <c r="QEY2" s="61"/>
      <c r="QEZ2" s="61"/>
      <c r="QFA2" s="61"/>
      <c r="QFB2" s="61"/>
      <c r="QFC2" s="61"/>
      <c r="QFD2" s="61"/>
      <c r="QFE2" s="61"/>
      <c r="QFF2" s="61"/>
      <c r="QFG2" s="61"/>
      <c r="QFH2" s="61"/>
      <c r="QFI2" s="61"/>
      <c r="QFJ2" s="61"/>
      <c r="QFK2" s="61"/>
      <c r="QFL2" s="61"/>
      <c r="QFM2" s="61"/>
      <c r="QFN2" s="61"/>
      <c r="QFO2" s="61"/>
      <c r="QFP2" s="61"/>
      <c r="QFQ2" s="61"/>
      <c r="QFR2" s="61"/>
      <c r="QFS2" s="61"/>
      <c r="QFT2" s="61"/>
      <c r="QFU2" s="61"/>
      <c r="QFV2" s="61"/>
      <c r="QFW2" s="61"/>
      <c r="QFX2" s="61"/>
      <c r="QFY2" s="61"/>
      <c r="QFZ2" s="61"/>
      <c r="QGA2" s="61"/>
      <c r="QGB2" s="61"/>
      <c r="QGC2" s="61"/>
      <c r="QGD2" s="61"/>
      <c r="QGE2" s="61"/>
      <c r="QGF2" s="61"/>
      <c r="QGG2" s="61"/>
      <c r="QGH2" s="61"/>
      <c r="QGI2" s="61"/>
      <c r="QGJ2" s="61"/>
      <c r="QGK2" s="61"/>
      <c r="QGL2" s="61"/>
      <c r="QGM2" s="61"/>
      <c r="QGN2" s="61"/>
      <c r="QGO2" s="61"/>
      <c r="QGP2" s="61"/>
      <c r="QGQ2" s="61"/>
      <c r="QGR2" s="61"/>
      <c r="QGS2" s="61"/>
      <c r="QGT2" s="61"/>
      <c r="QGU2" s="61"/>
      <c r="QGV2" s="61"/>
      <c r="QGW2" s="61"/>
      <c r="QGX2" s="61"/>
      <c r="QGY2" s="61"/>
      <c r="QGZ2" s="61"/>
      <c r="QHA2" s="61"/>
      <c r="QHB2" s="61"/>
      <c r="QHC2" s="61"/>
      <c r="QHD2" s="61"/>
      <c r="QHE2" s="61"/>
      <c r="QHF2" s="61"/>
      <c r="QHG2" s="61"/>
      <c r="QHH2" s="61"/>
      <c r="QHI2" s="61"/>
      <c r="QHJ2" s="61"/>
      <c r="QHK2" s="61"/>
      <c r="QHL2" s="61"/>
      <c r="QHM2" s="61"/>
      <c r="QHN2" s="61"/>
      <c r="QHO2" s="61"/>
      <c r="QHP2" s="61"/>
      <c r="QHQ2" s="61"/>
      <c r="QHR2" s="61"/>
      <c r="QHS2" s="61"/>
      <c r="QHT2" s="61"/>
      <c r="QHU2" s="61"/>
      <c r="QHV2" s="61"/>
      <c r="QHW2" s="61"/>
      <c r="QHX2" s="61"/>
      <c r="QHY2" s="61"/>
      <c r="QHZ2" s="61"/>
      <c r="QIA2" s="61"/>
      <c r="QIB2" s="61"/>
      <c r="QIC2" s="61"/>
      <c r="QID2" s="61"/>
      <c r="QIE2" s="61"/>
      <c r="QIF2" s="61"/>
      <c r="QIG2" s="61"/>
      <c r="QIH2" s="61"/>
      <c r="QII2" s="61"/>
      <c r="QIJ2" s="61"/>
      <c r="QIK2" s="61"/>
      <c r="QIL2" s="61"/>
      <c r="QIM2" s="61"/>
      <c r="QIN2" s="61"/>
      <c r="QIO2" s="61"/>
      <c r="QIP2" s="61"/>
      <c r="QIQ2" s="61"/>
      <c r="QIR2" s="61"/>
      <c r="QIS2" s="61"/>
      <c r="QIT2" s="61"/>
      <c r="QIU2" s="61"/>
      <c r="QIV2" s="61"/>
      <c r="QIW2" s="61"/>
      <c r="QIX2" s="61"/>
      <c r="QIY2" s="61"/>
      <c r="QIZ2" s="61"/>
      <c r="QJA2" s="61"/>
      <c r="QJB2" s="61"/>
      <c r="QJC2" s="61"/>
      <c r="QJD2" s="61"/>
      <c r="QJE2" s="61"/>
      <c r="QJF2" s="61"/>
      <c r="QJG2" s="61"/>
      <c r="QJH2" s="61"/>
      <c r="QJI2" s="61"/>
      <c r="QJJ2" s="61"/>
      <c r="QJK2" s="61"/>
      <c r="QJL2" s="61"/>
      <c r="QJM2" s="61"/>
      <c r="QJN2" s="61"/>
      <c r="QJO2" s="61"/>
      <c r="QJP2" s="61"/>
      <c r="QJQ2" s="61"/>
      <c r="QJR2" s="61"/>
      <c r="QJS2" s="61"/>
      <c r="QJT2" s="61"/>
      <c r="QJU2" s="61"/>
      <c r="QJV2" s="61"/>
      <c r="QJW2" s="61"/>
      <c r="QJX2" s="61"/>
      <c r="QJY2" s="61"/>
      <c r="QJZ2" s="61"/>
      <c r="QKA2" s="61"/>
      <c r="QKB2" s="61"/>
      <c r="QKC2" s="61"/>
      <c r="QKD2" s="61"/>
      <c r="QKE2" s="61"/>
      <c r="QKF2" s="61"/>
      <c r="QKG2" s="61"/>
      <c r="QKH2" s="61"/>
      <c r="QKI2" s="61"/>
      <c r="QKJ2" s="61"/>
      <c r="QKK2" s="61"/>
      <c r="QKL2" s="61"/>
      <c r="QKM2" s="61"/>
      <c r="QKN2" s="61"/>
      <c r="QKO2" s="61"/>
      <c r="QKP2" s="61"/>
      <c r="QKQ2" s="61"/>
      <c r="QKR2" s="61"/>
      <c r="QKS2" s="61"/>
      <c r="QKT2" s="61"/>
      <c r="QKU2" s="61"/>
      <c r="QKV2" s="61"/>
      <c r="QKW2" s="61"/>
      <c r="QKX2" s="61"/>
      <c r="QKY2" s="61"/>
      <c r="QKZ2" s="61"/>
      <c r="QLA2" s="61"/>
      <c r="QLB2" s="61"/>
      <c r="QLC2" s="61"/>
      <c r="QLD2" s="61"/>
      <c r="QLE2" s="61"/>
      <c r="QLF2" s="61"/>
      <c r="QLG2" s="61"/>
      <c r="QLH2" s="61"/>
      <c r="QLI2" s="61"/>
      <c r="QLJ2" s="61"/>
      <c r="QLK2" s="61"/>
      <c r="QLL2" s="61"/>
      <c r="QLM2" s="61"/>
      <c r="QLN2" s="61"/>
      <c r="QLO2" s="61"/>
      <c r="QLP2" s="61"/>
      <c r="QLQ2" s="61"/>
      <c r="QLR2" s="61"/>
      <c r="QLS2" s="61"/>
      <c r="QLT2" s="61"/>
      <c r="QLU2" s="61"/>
      <c r="QLV2" s="61"/>
      <c r="QLW2" s="61"/>
      <c r="QLX2" s="61"/>
      <c r="QLY2" s="61"/>
      <c r="QLZ2" s="61"/>
      <c r="QMA2" s="61"/>
      <c r="QMB2" s="61"/>
      <c r="QMC2" s="61"/>
      <c r="QMD2" s="61"/>
      <c r="QME2" s="61"/>
      <c r="QMF2" s="61"/>
      <c r="QMG2" s="61"/>
      <c r="QMH2" s="61"/>
      <c r="QMI2" s="61"/>
      <c r="QMJ2" s="61"/>
      <c r="QMK2" s="61"/>
      <c r="QML2" s="61"/>
      <c r="QMM2" s="61"/>
      <c r="QMN2" s="61"/>
      <c r="QMO2" s="61"/>
      <c r="QMP2" s="61"/>
      <c r="QMQ2" s="61"/>
      <c r="QMR2" s="61"/>
      <c r="QMS2" s="61"/>
      <c r="QMT2" s="61"/>
      <c r="QMU2" s="61"/>
      <c r="QMV2" s="61"/>
      <c r="QMW2" s="61"/>
      <c r="QMX2" s="61"/>
      <c r="QMY2" s="61"/>
      <c r="QMZ2" s="61"/>
      <c r="QNA2" s="61"/>
      <c r="QNB2" s="61"/>
      <c r="QNC2" s="61"/>
      <c r="QND2" s="61"/>
      <c r="QNE2" s="61"/>
      <c r="QNF2" s="61"/>
      <c r="QNG2" s="61"/>
      <c r="QNH2" s="61"/>
      <c r="QNI2" s="61"/>
      <c r="QNJ2" s="61"/>
      <c r="QNK2" s="61"/>
      <c r="QNL2" s="61"/>
      <c r="QNM2" s="61"/>
      <c r="QNN2" s="61"/>
      <c r="QNO2" s="61"/>
      <c r="QNP2" s="61"/>
      <c r="QNQ2" s="61"/>
      <c r="QNR2" s="61"/>
      <c r="QNS2" s="61"/>
      <c r="QNT2" s="61"/>
      <c r="QNU2" s="61"/>
      <c r="QNV2" s="61"/>
      <c r="QNW2" s="61"/>
      <c r="QNX2" s="61"/>
      <c r="QNY2" s="61"/>
      <c r="QNZ2" s="61"/>
      <c r="QOA2" s="61"/>
      <c r="QOB2" s="61"/>
      <c r="QOC2" s="61"/>
      <c r="QOD2" s="61"/>
      <c r="QOE2" s="61"/>
      <c r="QOF2" s="61"/>
      <c r="QOG2" s="61"/>
      <c r="QOH2" s="61"/>
      <c r="QOI2" s="61"/>
      <c r="QOJ2" s="61"/>
      <c r="QOK2" s="61"/>
      <c r="QOL2" s="61"/>
      <c r="QOM2" s="61"/>
      <c r="QON2" s="61"/>
      <c r="QOO2" s="61"/>
      <c r="QOP2" s="61"/>
      <c r="QOQ2" s="61"/>
      <c r="QOR2" s="61"/>
      <c r="QOS2" s="61"/>
      <c r="QOT2" s="61"/>
      <c r="QOU2" s="61"/>
      <c r="QOV2" s="61"/>
      <c r="QOW2" s="61"/>
      <c r="QOX2" s="61"/>
      <c r="QOY2" s="61"/>
      <c r="QOZ2" s="61"/>
      <c r="QPA2" s="61"/>
      <c r="QPB2" s="61"/>
      <c r="QPC2" s="61"/>
      <c r="QPD2" s="61"/>
      <c r="QPE2" s="61"/>
      <c r="QPF2" s="61"/>
      <c r="QPG2" s="61"/>
      <c r="QPH2" s="61"/>
      <c r="QPI2" s="61"/>
      <c r="QPJ2" s="61"/>
      <c r="QPK2" s="61"/>
      <c r="QPL2" s="61"/>
      <c r="QPM2" s="61"/>
      <c r="QPN2" s="61"/>
      <c r="QPO2" s="61"/>
      <c r="QPP2" s="61"/>
      <c r="QPQ2" s="61"/>
      <c r="QPR2" s="61"/>
      <c r="QPS2" s="61"/>
      <c r="QPT2" s="61"/>
      <c r="QPU2" s="61"/>
      <c r="QPV2" s="61"/>
      <c r="QPW2" s="61"/>
      <c r="QPX2" s="61"/>
      <c r="QPY2" s="61"/>
      <c r="QPZ2" s="61"/>
      <c r="QQA2" s="61"/>
      <c r="QQB2" s="61"/>
      <c r="QQC2" s="61"/>
      <c r="QQD2" s="61"/>
      <c r="QQE2" s="61"/>
      <c r="QQF2" s="61"/>
      <c r="QQG2" s="61"/>
      <c r="QQH2" s="61"/>
      <c r="QQI2" s="61"/>
      <c r="QQJ2" s="61"/>
      <c r="QQK2" s="61"/>
      <c r="QQL2" s="61"/>
      <c r="QQM2" s="61"/>
      <c r="QQN2" s="61"/>
      <c r="QQO2" s="61"/>
      <c r="QQP2" s="61"/>
      <c r="QQQ2" s="61"/>
      <c r="QQR2" s="61"/>
      <c r="QQS2" s="61"/>
      <c r="QQT2" s="61"/>
      <c r="QQU2" s="61"/>
      <c r="QQV2" s="61"/>
      <c r="QQW2" s="61"/>
      <c r="QQX2" s="61"/>
      <c r="QQY2" s="61"/>
      <c r="QQZ2" s="61"/>
      <c r="QRA2" s="61"/>
      <c r="QRB2" s="61"/>
      <c r="QRC2" s="61"/>
      <c r="QRD2" s="61"/>
      <c r="QRE2" s="61"/>
      <c r="QRF2" s="61"/>
      <c r="QRG2" s="61"/>
      <c r="QRH2" s="61"/>
      <c r="QRI2" s="61"/>
      <c r="QRJ2" s="61"/>
      <c r="QRK2" s="61"/>
      <c r="QRL2" s="61"/>
      <c r="QRM2" s="61"/>
      <c r="QRN2" s="61"/>
      <c r="QRO2" s="61"/>
      <c r="QRP2" s="61"/>
      <c r="QRQ2" s="61"/>
      <c r="QRR2" s="61"/>
      <c r="QRS2" s="61"/>
      <c r="QRT2" s="61"/>
      <c r="QRU2" s="61"/>
      <c r="QRV2" s="61"/>
      <c r="QRW2" s="61"/>
      <c r="QRX2" s="61"/>
      <c r="QRY2" s="61"/>
      <c r="QRZ2" s="61"/>
      <c r="QSA2" s="61"/>
      <c r="QSB2" s="61"/>
      <c r="QSC2" s="61"/>
      <c r="QSD2" s="61"/>
      <c r="QSE2" s="61"/>
      <c r="QSF2" s="61"/>
      <c r="QSG2" s="61"/>
      <c r="QSH2" s="61"/>
      <c r="QSI2" s="61"/>
      <c r="QSJ2" s="61"/>
      <c r="QSK2" s="61"/>
      <c r="QSL2" s="61"/>
      <c r="QSM2" s="61"/>
      <c r="QSN2" s="61"/>
      <c r="QSO2" s="61"/>
      <c r="QSP2" s="61"/>
      <c r="QSQ2" s="61"/>
      <c r="QSR2" s="61"/>
      <c r="QSS2" s="61"/>
      <c r="QST2" s="61"/>
      <c r="QSU2" s="61"/>
      <c r="QSV2" s="61"/>
      <c r="QSW2" s="61"/>
      <c r="QSX2" s="61"/>
      <c r="QSY2" s="61"/>
      <c r="QSZ2" s="61"/>
      <c r="QTA2" s="61"/>
      <c r="QTB2" s="61"/>
      <c r="QTC2" s="61"/>
      <c r="QTD2" s="61"/>
      <c r="QTE2" s="61"/>
      <c r="QTF2" s="61"/>
      <c r="QTG2" s="61"/>
      <c r="QTH2" s="61"/>
      <c r="QTI2" s="61"/>
      <c r="QTJ2" s="61"/>
      <c r="QTK2" s="61"/>
      <c r="QTL2" s="61"/>
      <c r="QTM2" s="61"/>
      <c r="QTN2" s="61"/>
      <c r="QTO2" s="61"/>
      <c r="QTP2" s="61"/>
      <c r="QTQ2" s="61"/>
      <c r="QTR2" s="61"/>
      <c r="QTS2" s="61"/>
      <c r="QTT2" s="61"/>
      <c r="QTU2" s="61"/>
      <c r="QTV2" s="61"/>
      <c r="QTW2" s="61"/>
      <c r="QTX2" s="61"/>
      <c r="QTY2" s="61"/>
      <c r="QTZ2" s="61"/>
      <c r="QUA2" s="61"/>
      <c r="QUB2" s="61"/>
      <c r="QUC2" s="61"/>
      <c r="QUD2" s="61"/>
      <c r="QUE2" s="61"/>
      <c r="QUF2" s="61"/>
      <c r="QUG2" s="61"/>
      <c r="QUH2" s="61"/>
      <c r="QUI2" s="61"/>
      <c r="QUJ2" s="61"/>
      <c r="QUK2" s="61"/>
      <c r="QUL2" s="61"/>
      <c r="QUM2" s="61"/>
      <c r="QUN2" s="61"/>
      <c r="QUO2" s="61"/>
      <c r="QUP2" s="61"/>
      <c r="QUQ2" s="61"/>
      <c r="QUR2" s="61"/>
      <c r="QUS2" s="61"/>
      <c r="QUT2" s="61"/>
      <c r="QUU2" s="61"/>
      <c r="QUV2" s="61"/>
      <c r="QUW2" s="61"/>
      <c r="QUX2" s="61"/>
      <c r="QUY2" s="61"/>
      <c r="QUZ2" s="61"/>
      <c r="QVA2" s="61"/>
      <c r="QVB2" s="61"/>
      <c r="QVC2" s="61"/>
      <c r="QVD2" s="61"/>
      <c r="QVE2" s="61"/>
      <c r="QVF2" s="61"/>
      <c r="QVG2" s="61"/>
      <c r="QVH2" s="61"/>
      <c r="QVI2" s="61"/>
      <c r="QVJ2" s="61"/>
      <c r="QVK2" s="61"/>
      <c r="QVL2" s="61"/>
      <c r="QVM2" s="61"/>
      <c r="QVN2" s="61"/>
      <c r="QVO2" s="61"/>
      <c r="QVP2" s="61"/>
      <c r="QVQ2" s="61"/>
      <c r="QVR2" s="61"/>
      <c r="QVS2" s="61"/>
      <c r="QVT2" s="61"/>
      <c r="QVU2" s="61"/>
      <c r="QVV2" s="61"/>
      <c r="QVW2" s="61"/>
      <c r="QVX2" s="61"/>
      <c r="QVY2" s="61"/>
      <c r="QVZ2" s="61"/>
      <c r="QWA2" s="61"/>
      <c r="QWB2" s="61"/>
      <c r="QWC2" s="61"/>
      <c r="QWD2" s="61"/>
      <c r="QWE2" s="61"/>
      <c r="QWF2" s="61"/>
      <c r="QWG2" s="61"/>
      <c r="QWH2" s="61"/>
      <c r="QWI2" s="61"/>
      <c r="QWJ2" s="61"/>
      <c r="QWK2" s="61"/>
      <c r="QWL2" s="61"/>
      <c r="QWM2" s="61"/>
      <c r="QWN2" s="61"/>
      <c r="QWO2" s="61"/>
      <c r="QWP2" s="61"/>
      <c r="QWQ2" s="61"/>
      <c r="QWR2" s="61"/>
      <c r="QWS2" s="61"/>
      <c r="QWT2" s="61"/>
      <c r="QWU2" s="61"/>
      <c r="QWV2" s="61"/>
      <c r="QWW2" s="61"/>
      <c r="QWX2" s="61"/>
      <c r="QWY2" s="61"/>
      <c r="QWZ2" s="61"/>
      <c r="QXA2" s="61"/>
      <c r="QXB2" s="61"/>
      <c r="QXC2" s="61"/>
      <c r="QXD2" s="61"/>
      <c r="QXE2" s="61"/>
      <c r="QXF2" s="61"/>
      <c r="QXG2" s="61"/>
      <c r="QXH2" s="61"/>
      <c r="QXI2" s="61"/>
      <c r="QXJ2" s="61"/>
      <c r="QXK2" s="61"/>
      <c r="QXL2" s="61"/>
      <c r="QXM2" s="61"/>
      <c r="QXN2" s="61"/>
      <c r="QXO2" s="61"/>
      <c r="QXP2" s="61"/>
      <c r="QXQ2" s="61"/>
      <c r="QXR2" s="61"/>
      <c r="QXS2" s="61"/>
      <c r="QXT2" s="61"/>
      <c r="QXU2" s="61"/>
      <c r="QXV2" s="61"/>
      <c r="QXW2" s="61"/>
      <c r="QXX2" s="61"/>
      <c r="QXY2" s="61"/>
      <c r="QXZ2" s="61"/>
      <c r="QYA2" s="61"/>
      <c r="QYB2" s="61"/>
      <c r="QYC2" s="61"/>
      <c r="QYD2" s="61"/>
      <c r="QYE2" s="61"/>
      <c r="QYF2" s="61"/>
      <c r="QYG2" s="61"/>
      <c r="QYH2" s="61"/>
      <c r="QYI2" s="61"/>
      <c r="QYJ2" s="61"/>
      <c r="QYK2" s="61"/>
      <c r="QYL2" s="61"/>
      <c r="QYM2" s="61"/>
      <c r="QYN2" s="61"/>
      <c r="QYO2" s="61"/>
      <c r="QYP2" s="61"/>
      <c r="QYQ2" s="61"/>
      <c r="QYR2" s="61"/>
      <c r="QYS2" s="61"/>
      <c r="QYT2" s="61"/>
      <c r="QYU2" s="61"/>
      <c r="QYV2" s="61"/>
      <c r="QYW2" s="61"/>
      <c r="QYX2" s="61"/>
      <c r="QYY2" s="61"/>
      <c r="QYZ2" s="61"/>
      <c r="QZA2" s="61"/>
      <c r="QZB2" s="61"/>
      <c r="QZC2" s="61"/>
      <c r="QZD2" s="61"/>
      <c r="QZE2" s="61"/>
      <c r="QZF2" s="61"/>
      <c r="QZG2" s="61"/>
      <c r="QZH2" s="61"/>
      <c r="QZI2" s="61"/>
      <c r="QZJ2" s="61"/>
      <c r="QZK2" s="61"/>
      <c r="QZL2" s="61"/>
      <c r="QZM2" s="61"/>
      <c r="QZN2" s="61"/>
      <c r="QZO2" s="61"/>
      <c r="QZP2" s="61"/>
      <c r="QZQ2" s="61"/>
      <c r="QZR2" s="61"/>
      <c r="QZS2" s="61"/>
      <c r="QZT2" s="61"/>
      <c r="QZU2" s="61"/>
      <c r="QZV2" s="61"/>
      <c r="QZW2" s="61"/>
      <c r="QZX2" s="61"/>
      <c r="QZY2" s="61"/>
      <c r="QZZ2" s="61"/>
      <c r="RAA2" s="61"/>
      <c r="RAB2" s="61"/>
      <c r="RAC2" s="61"/>
      <c r="RAD2" s="61"/>
      <c r="RAE2" s="61"/>
      <c r="RAF2" s="61"/>
      <c r="RAG2" s="61"/>
      <c r="RAH2" s="61"/>
      <c r="RAI2" s="61"/>
      <c r="RAJ2" s="61"/>
      <c r="RAK2" s="61"/>
      <c r="RAL2" s="61"/>
      <c r="RAM2" s="61"/>
      <c r="RAN2" s="61"/>
      <c r="RAO2" s="61"/>
      <c r="RAP2" s="61"/>
      <c r="RAQ2" s="61"/>
      <c r="RAR2" s="61"/>
      <c r="RAS2" s="61"/>
      <c r="RAT2" s="61"/>
      <c r="RAU2" s="61"/>
      <c r="RAV2" s="61"/>
      <c r="RAW2" s="61"/>
      <c r="RAX2" s="61"/>
      <c r="RAY2" s="61"/>
      <c r="RAZ2" s="61"/>
      <c r="RBA2" s="61"/>
      <c r="RBB2" s="61"/>
      <c r="RBC2" s="61"/>
      <c r="RBD2" s="61"/>
      <c r="RBE2" s="61"/>
      <c r="RBF2" s="61"/>
      <c r="RBG2" s="61"/>
      <c r="RBH2" s="61"/>
      <c r="RBI2" s="61"/>
      <c r="RBJ2" s="61"/>
      <c r="RBK2" s="61"/>
      <c r="RBL2" s="61"/>
      <c r="RBM2" s="61"/>
      <c r="RBN2" s="61"/>
      <c r="RBO2" s="61"/>
      <c r="RBP2" s="61"/>
      <c r="RBQ2" s="61"/>
      <c r="RBR2" s="61"/>
      <c r="RBS2" s="61"/>
      <c r="RBT2" s="61"/>
      <c r="RBU2" s="61"/>
      <c r="RBV2" s="61"/>
      <c r="RBW2" s="61"/>
      <c r="RBX2" s="61"/>
      <c r="RBY2" s="61"/>
      <c r="RBZ2" s="61"/>
      <c r="RCA2" s="61"/>
      <c r="RCB2" s="61"/>
      <c r="RCC2" s="61"/>
      <c r="RCD2" s="61"/>
      <c r="RCE2" s="61"/>
      <c r="RCF2" s="61"/>
      <c r="RCG2" s="61"/>
      <c r="RCH2" s="61"/>
      <c r="RCI2" s="61"/>
      <c r="RCJ2" s="61"/>
      <c r="RCK2" s="61"/>
      <c r="RCL2" s="61"/>
      <c r="RCM2" s="61"/>
      <c r="RCN2" s="61"/>
      <c r="RCO2" s="61"/>
      <c r="RCP2" s="61"/>
      <c r="RCQ2" s="61"/>
      <c r="RCR2" s="61"/>
      <c r="RCS2" s="61"/>
      <c r="RCT2" s="61"/>
      <c r="RCU2" s="61"/>
      <c r="RCV2" s="61"/>
      <c r="RCW2" s="61"/>
      <c r="RCX2" s="61"/>
      <c r="RCY2" s="61"/>
      <c r="RCZ2" s="61"/>
      <c r="RDA2" s="61"/>
      <c r="RDB2" s="61"/>
      <c r="RDC2" s="61"/>
      <c r="RDD2" s="61"/>
      <c r="RDE2" s="61"/>
      <c r="RDF2" s="61"/>
      <c r="RDG2" s="61"/>
      <c r="RDH2" s="61"/>
      <c r="RDI2" s="61"/>
      <c r="RDJ2" s="61"/>
      <c r="RDK2" s="61"/>
      <c r="RDL2" s="61"/>
      <c r="RDM2" s="61"/>
      <c r="RDN2" s="61"/>
      <c r="RDO2" s="61"/>
      <c r="RDP2" s="61"/>
      <c r="RDQ2" s="61"/>
      <c r="RDR2" s="61"/>
      <c r="RDS2" s="61"/>
      <c r="RDT2" s="61"/>
      <c r="RDU2" s="61"/>
      <c r="RDV2" s="61"/>
      <c r="RDW2" s="61"/>
      <c r="RDX2" s="61"/>
      <c r="RDY2" s="61"/>
      <c r="RDZ2" s="61"/>
      <c r="REA2" s="61"/>
      <c r="REB2" s="61"/>
      <c r="REC2" s="61"/>
      <c r="RED2" s="61"/>
      <c r="REE2" s="61"/>
      <c r="REF2" s="61"/>
      <c r="REG2" s="61"/>
      <c r="REH2" s="61"/>
      <c r="REI2" s="61"/>
      <c r="REJ2" s="61"/>
      <c r="REK2" s="61"/>
      <c r="REL2" s="61"/>
      <c r="REM2" s="61"/>
      <c r="REN2" s="61"/>
      <c r="REO2" s="61"/>
      <c r="REP2" s="61"/>
      <c r="REQ2" s="61"/>
      <c r="RER2" s="61"/>
      <c r="RES2" s="61"/>
      <c r="RET2" s="61"/>
      <c r="REU2" s="61"/>
      <c r="REV2" s="61"/>
      <c r="REW2" s="61"/>
      <c r="REX2" s="61"/>
      <c r="REY2" s="61"/>
      <c r="REZ2" s="61"/>
      <c r="RFA2" s="61"/>
      <c r="RFB2" s="61"/>
      <c r="RFC2" s="61"/>
      <c r="RFD2" s="61"/>
      <c r="RFE2" s="61"/>
      <c r="RFF2" s="61"/>
      <c r="RFG2" s="61"/>
      <c r="RFH2" s="61"/>
      <c r="RFI2" s="61"/>
      <c r="RFJ2" s="61"/>
      <c r="RFK2" s="61"/>
      <c r="RFL2" s="61"/>
      <c r="RFM2" s="61"/>
      <c r="RFN2" s="61"/>
      <c r="RFO2" s="61"/>
      <c r="RFP2" s="61"/>
      <c r="RFQ2" s="61"/>
      <c r="RFR2" s="61"/>
      <c r="RFS2" s="61"/>
      <c r="RFT2" s="61"/>
      <c r="RFU2" s="61"/>
      <c r="RFV2" s="61"/>
      <c r="RFW2" s="61"/>
      <c r="RFX2" s="61"/>
      <c r="RFY2" s="61"/>
      <c r="RFZ2" s="61"/>
      <c r="RGA2" s="61"/>
      <c r="RGB2" s="61"/>
      <c r="RGC2" s="61"/>
      <c r="RGD2" s="61"/>
      <c r="RGE2" s="61"/>
      <c r="RGF2" s="61"/>
      <c r="RGG2" s="61"/>
      <c r="RGH2" s="61"/>
      <c r="RGI2" s="61"/>
      <c r="RGJ2" s="61"/>
      <c r="RGK2" s="61"/>
      <c r="RGL2" s="61"/>
      <c r="RGM2" s="61"/>
      <c r="RGN2" s="61"/>
      <c r="RGO2" s="61"/>
      <c r="RGP2" s="61"/>
      <c r="RGQ2" s="61"/>
      <c r="RGR2" s="61"/>
      <c r="RGS2" s="61"/>
      <c r="RGT2" s="61"/>
      <c r="RGU2" s="61"/>
      <c r="RGV2" s="61"/>
      <c r="RGW2" s="61"/>
      <c r="RGX2" s="61"/>
      <c r="RGY2" s="61"/>
      <c r="RGZ2" s="61"/>
      <c r="RHA2" s="61"/>
      <c r="RHB2" s="61"/>
      <c r="RHC2" s="61"/>
      <c r="RHD2" s="61"/>
      <c r="RHE2" s="61"/>
      <c r="RHF2" s="61"/>
      <c r="RHG2" s="61"/>
      <c r="RHH2" s="61"/>
      <c r="RHI2" s="61"/>
      <c r="RHJ2" s="61"/>
      <c r="RHK2" s="61"/>
      <c r="RHL2" s="61"/>
      <c r="RHM2" s="61"/>
      <c r="RHN2" s="61"/>
      <c r="RHO2" s="61"/>
      <c r="RHP2" s="61"/>
      <c r="RHQ2" s="61"/>
      <c r="RHR2" s="61"/>
      <c r="RHS2" s="61"/>
      <c r="RHT2" s="61"/>
      <c r="RHU2" s="61"/>
      <c r="RHV2" s="61"/>
      <c r="RHW2" s="61"/>
      <c r="RHX2" s="61"/>
      <c r="RHY2" s="61"/>
      <c r="RHZ2" s="61"/>
      <c r="RIA2" s="61"/>
      <c r="RIB2" s="61"/>
      <c r="RIC2" s="61"/>
      <c r="RID2" s="61"/>
      <c r="RIE2" s="61"/>
      <c r="RIF2" s="61"/>
      <c r="RIG2" s="61"/>
      <c r="RIH2" s="61"/>
      <c r="RII2" s="61"/>
      <c r="RIJ2" s="61"/>
      <c r="RIK2" s="61"/>
      <c r="RIL2" s="61"/>
      <c r="RIM2" s="61"/>
      <c r="RIN2" s="61"/>
      <c r="RIO2" s="61"/>
      <c r="RIP2" s="61"/>
      <c r="RIQ2" s="61"/>
      <c r="RIR2" s="61"/>
      <c r="RIS2" s="61"/>
      <c r="RIT2" s="61"/>
      <c r="RIU2" s="61"/>
      <c r="RIV2" s="61"/>
      <c r="RIW2" s="61"/>
      <c r="RIX2" s="61"/>
      <c r="RIY2" s="61"/>
      <c r="RIZ2" s="61"/>
      <c r="RJA2" s="61"/>
      <c r="RJB2" s="61"/>
      <c r="RJC2" s="61"/>
      <c r="RJD2" s="61"/>
      <c r="RJE2" s="61"/>
      <c r="RJF2" s="61"/>
      <c r="RJG2" s="61"/>
      <c r="RJH2" s="61"/>
      <c r="RJI2" s="61"/>
      <c r="RJJ2" s="61"/>
      <c r="RJK2" s="61"/>
      <c r="RJL2" s="61"/>
      <c r="RJM2" s="61"/>
      <c r="RJN2" s="61"/>
      <c r="RJO2" s="61"/>
      <c r="RJP2" s="61"/>
      <c r="RJQ2" s="61"/>
      <c r="RJR2" s="61"/>
      <c r="RJS2" s="61"/>
      <c r="RJT2" s="61"/>
      <c r="RJU2" s="61"/>
      <c r="RJV2" s="61"/>
      <c r="RJW2" s="61"/>
      <c r="RJX2" s="61"/>
      <c r="RJY2" s="61"/>
      <c r="RJZ2" s="61"/>
      <c r="RKA2" s="61"/>
      <c r="RKB2" s="61"/>
      <c r="RKC2" s="61"/>
      <c r="RKD2" s="61"/>
      <c r="RKE2" s="61"/>
      <c r="RKF2" s="61"/>
      <c r="RKG2" s="61"/>
      <c r="RKH2" s="61"/>
      <c r="RKI2" s="61"/>
      <c r="RKJ2" s="61"/>
      <c r="RKK2" s="61"/>
      <c r="RKL2" s="61"/>
      <c r="RKM2" s="61"/>
      <c r="RKN2" s="61"/>
      <c r="RKO2" s="61"/>
      <c r="RKP2" s="61"/>
      <c r="RKQ2" s="61"/>
      <c r="RKR2" s="61"/>
      <c r="RKS2" s="61"/>
      <c r="RKT2" s="61"/>
      <c r="RKU2" s="61"/>
      <c r="RKV2" s="61"/>
      <c r="RKW2" s="61"/>
      <c r="RKX2" s="61"/>
      <c r="RKY2" s="61"/>
      <c r="RKZ2" s="61"/>
      <c r="RLA2" s="61"/>
      <c r="RLB2" s="61"/>
      <c r="RLC2" s="61"/>
      <c r="RLD2" s="61"/>
      <c r="RLE2" s="61"/>
      <c r="RLF2" s="61"/>
      <c r="RLG2" s="61"/>
      <c r="RLH2" s="61"/>
      <c r="RLI2" s="61"/>
      <c r="RLJ2" s="61"/>
      <c r="RLK2" s="61"/>
      <c r="RLL2" s="61"/>
      <c r="RLM2" s="61"/>
      <c r="RLN2" s="61"/>
      <c r="RLO2" s="61"/>
      <c r="RLP2" s="61"/>
      <c r="RLQ2" s="61"/>
      <c r="RLR2" s="61"/>
      <c r="RLS2" s="61"/>
      <c r="RLT2" s="61"/>
      <c r="RLU2" s="61"/>
      <c r="RLV2" s="61"/>
      <c r="RLW2" s="61"/>
      <c r="RLX2" s="61"/>
      <c r="RLY2" s="61"/>
      <c r="RLZ2" s="61"/>
      <c r="RMA2" s="61"/>
      <c r="RMB2" s="61"/>
      <c r="RMC2" s="61"/>
      <c r="RMD2" s="61"/>
      <c r="RME2" s="61"/>
      <c r="RMF2" s="61"/>
      <c r="RMG2" s="61"/>
      <c r="RMH2" s="61"/>
      <c r="RMI2" s="61"/>
      <c r="RMJ2" s="61"/>
      <c r="RMK2" s="61"/>
      <c r="RML2" s="61"/>
      <c r="RMM2" s="61"/>
      <c r="RMN2" s="61"/>
      <c r="RMO2" s="61"/>
      <c r="RMP2" s="61"/>
      <c r="RMQ2" s="61"/>
      <c r="RMR2" s="61"/>
      <c r="RMS2" s="61"/>
      <c r="RMT2" s="61"/>
      <c r="RMU2" s="61"/>
      <c r="RMV2" s="61"/>
      <c r="RMW2" s="61"/>
      <c r="RMX2" s="61"/>
      <c r="RMY2" s="61"/>
      <c r="RMZ2" s="61"/>
      <c r="RNA2" s="61"/>
      <c r="RNB2" s="61"/>
      <c r="RNC2" s="61"/>
      <c r="RND2" s="61"/>
      <c r="RNE2" s="61"/>
      <c r="RNF2" s="61"/>
      <c r="RNG2" s="61"/>
      <c r="RNH2" s="61"/>
      <c r="RNI2" s="61"/>
      <c r="RNJ2" s="61"/>
      <c r="RNK2" s="61"/>
      <c r="RNL2" s="61"/>
      <c r="RNM2" s="61"/>
      <c r="RNN2" s="61"/>
      <c r="RNO2" s="61"/>
      <c r="RNP2" s="61"/>
      <c r="RNQ2" s="61"/>
      <c r="RNR2" s="61"/>
      <c r="RNS2" s="61"/>
      <c r="RNT2" s="61"/>
      <c r="RNU2" s="61"/>
      <c r="RNV2" s="61"/>
      <c r="RNW2" s="61"/>
      <c r="RNX2" s="61"/>
      <c r="RNY2" s="61"/>
      <c r="RNZ2" s="61"/>
      <c r="ROA2" s="61"/>
      <c r="ROB2" s="61"/>
      <c r="ROC2" s="61"/>
      <c r="ROD2" s="61"/>
      <c r="ROE2" s="61"/>
      <c r="ROF2" s="61"/>
      <c r="ROG2" s="61"/>
      <c r="ROH2" s="61"/>
      <c r="ROI2" s="61"/>
      <c r="ROJ2" s="61"/>
      <c r="ROK2" s="61"/>
      <c r="ROL2" s="61"/>
      <c r="ROM2" s="61"/>
      <c r="RON2" s="61"/>
      <c r="ROO2" s="61"/>
      <c r="ROP2" s="61"/>
      <c r="ROQ2" s="61"/>
      <c r="ROR2" s="61"/>
      <c r="ROS2" s="61"/>
      <c r="ROT2" s="61"/>
      <c r="ROU2" s="61"/>
      <c r="ROV2" s="61"/>
      <c r="ROW2" s="61"/>
      <c r="ROX2" s="61"/>
      <c r="ROY2" s="61"/>
      <c r="ROZ2" s="61"/>
      <c r="RPA2" s="61"/>
      <c r="RPB2" s="61"/>
      <c r="RPC2" s="61"/>
      <c r="RPD2" s="61"/>
      <c r="RPE2" s="61"/>
      <c r="RPF2" s="61"/>
      <c r="RPG2" s="61"/>
      <c r="RPH2" s="61"/>
      <c r="RPI2" s="61"/>
      <c r="RPJ2" s="61"/>
      <c r="RPK2" s="61"/>
      <c r="RPL2" s="61"/>
      <c r="RPM2" s="61"/>
      <c r="RPN2" s="61"/>
      <c r="RPO2" s="61"/>
      <c r="RPP2" s="61"/>
      <c r="RPQ2" s="61"/>
      <c r="RPR2" s="61"/>
      <c r="RPS2" s="61"/>
      <c r="RPT2" s="61"/>
      <c r="RPU2" s="61"/>
      <c r="RPV2" s="61"/>
      <c r="RPW2" s="61"/>
      <c r="RPX2" s="61"/>
      <c r="RPY2" s="61"/>
      <c r="RPZ2" s="61"/>
      <c r="RQA2" s="61"/>
      <c r="RQB2" s="61"/>
      <c r="RQC2" s="61"/>
      <c r="RQD2" s="61"/>
      <c r="RQE2" s="61"/>
      <c r="RQF2" s="61"/>
      <c r="RQG2" s="61"/>
      <c r="RQH2" s="61"/>
      <c r="RQI2" s="61"/>
      <c r="RQJ2" s="61"/>
      <c r="RQK2" s="61"/>
      <c r="RQL2" s="61"/>
      <c r="RQM2" s="61"/>
      <c r="RQN2" s="61"/>
      <c r="RQO2" s="61"/>
      <c r="RQP2" s="61"/>
      <c r="RQQ2" s="61"/>
      <c r="RQR2" s="61"/>
      <c r="RQS2" s="61"/>
      <c r="RQT2" s="61"/>
      <c r="RQU2" s="61"/>
      <c r="RQV2" s="61"/>
      <c r="RQW2" s="61"/>
      <c r="RQX2" s="61"/>
      <c r="RQY2" s="61"/>
      <c r="RQZ2" s="61"/>
      <c r="RRA2" s="61"/>
      <c r="RRB2" s="61"/>
      <c r="RRC2" s="61"/>
      <c r="RRD2" s="61"/>
      <c r="RRE2" s="61"/>
      <c r="RRF2" s="61"/>
      <c r="RRG2" s="61"/>
      <c r="RRH2" s="61"/>
      <c r="RRI2" s="61"/>
      <c r="RRJ2" s="61"/>
      <c r="RRK2" s="61"/>
      <c r="RRL2" s="61"/>
      <c r="RRM2" s="61"/>
      <c r="RRN2" s="61"/>
      <c r="RRO2" s="61"/>
      <c r="RRP2" s="61"/>
      <c r="RRQ2" s="61"/>
      <c r="RRR2" s="61"/>
      <c r="RRS2" s="61"/>
      <c r="RRT2" s="61"/>
      <c r="RRU2" s="61"/>
      <c r="RRV2" s="61"/>
      <c r="RRW2" s="61"/>
      <c r="RRX2" s="61"/>
      <c r="RRY2" s="61"/>
      <c r="RRZ2" s="61"/>
      <c r="RSA2" s="61"/>
      <c r="RSB2" s="61"/>
      <c r="RSC2" s="61"/>
      <c r="RSD2" s="61"/>
      <c r="RSE2" s="61"/>
      <c r="RSF2" s="61"/>
      <c r="RSG2" s="61"/>
      <c r="RSH2" s="61"/>
      <c r="RSI2" s="61"/>
      <c r="RSJ2" s="61"/>
      <c r="RSK2" s="61"/>
      <c r="RSL2" s="61"/>
      <c r="RSM2" s="61"/>
      <c r="RSN2" s="61"/>
      <c r="RSO2" s="61"/>
      <c r="RSP2" s="61"/>
      <c r="RSQ2" s="61"/>
      <c r="RSR2" s="61"/>
      <c r="RSS2" s="61"/>
      <c r="RST2" s="61"/>
      <c r="RSU2" s="61"/>
      <c r="RSV2" s="61"/>
      <c r="RSW2" s="61"/>
      <c r="RSX2" s="61"/>
      <c r="RSY2" s="61"/>
      <c r="RSZ2" s="61"/>
      <c r="RTA2" s="61"/>
      <c r="RTB2" s="61"/>
      <c r="RTC2" s="61"/>
      <c r="RTD2" s="61"/>
      <c r="RTE2" s="61"/>
      <c r="RTF2" s="61"/>
      <c r="RTG2" s="61"/>
      <c r="RTH2" s="61"/>
      <c r="RTI2" s="61"/>
      <c r="RTJ2" s="61"/>
      <c r="RTK2" s="61"/>
      <c r="RTL2" s="61"/>
      <c r="RTM2" s="61"/>
      <c r="RTN2" s="61"/>
      <c r="RTO2" s="61"/>
      <c r="RTP2" s="61"/>
      <c r="RTQ2" s="61"/>
      <c r="RTR2" s="61"/>
      <c r="RTS2" s="61"/>
      <c r="RTT2" s="61"/>
      <c r="RTU2" s="61"/>
      <c r="RTV2" s="61"/>
      <c r="RTW2" s="61"/>
      <c r="RTX2" s="61"/>
      <c r="RTY2" s="61"/>
      <c r="RTZ2" s="61"/>
      <c r="RUA2" s="61"/>
      <c r="RUB2" s="61"/>
      <c r="RUC2" s="61"/>
      <c r="RUD2" s="61"/>
      <c r="RUE2" s="61"/>
      <c r="RUF2" s="61"/>
      <c r="RUG2" s="61"/>
      <c r="RUH2" s="61"/>
      <c r="RUI2" s="61"/>
      <c r="RUJ2" s="61"/>
      <c r="RUK2" s="61"/>
      <c r="RUL2" s="61"/>
      <c r="RUM2" s="61"/>
      <c r="RUN2" s="61"/>
      <c r="RUO2" s="61"/>
      <c r="RUP2" s="61"/>
      <c r="RUQ2" s="61"/>
      <c r="RUR2" s="61"/>
      <c r="RUS2" s="61"/>
      <c r="RUT2" s="61"/>
      <c r="RUU2" s="61"/>
      <c r="RUV2" s="61"/>
      <c r="RUW2" s="61"/>
      <c r="RUX2" s="61"/>
      <c r="RUY2" s="61"/>
      <c r="RUZ2" s="61"/>
      <c r="RVA2" s="61"/>
      <c r="RVB2" s="61"/>
      <c r="RVC2" s="61"/>
      <c r="RVD2" s="61"/>
      <c r="RVE2" s="61"/>
      <c r="RVF2" s="61"/>
      <c r="RVG2" s="61"/>
      <c r="RVH2" s="61"/>
      <c r="RVI2" s="61"/>
      <c r="RVJ2" s="61"/>
      <c r="RVK2" s="61"/>
      <c r="RVL2" s="61"/>
      <c r="RVM2" s="61"/>
      <c r="RVN2" s="61"/>
      <c r="RVO2" s="61"/>
      <c r="RVP2" s="61"/>
      <c r="RVQ2" s="61"/>
      <c r="RVR2" s="61"/>
      <c r="RVS2" s="61"/>
      <c r="RVT2" s="61"/>
      <c r="RVU2" s="61"/>
      <c r="RVV2" s="61"/>
      <c r="RVW2" s="61"/>
      <c r="RVX2" s="61"/>
      <c r="RVY2" s="61"/>
      <c r="RVZ2" s="61"/>
      <c r="RWA2" s="61"/>
      <c r="RWB2" s="61"/>
      <c r="RWC2" s="61"/>
      <c r="RWD2" s="61"/>
      <c r="RWE2" s="61"/>
      <c r="RWF2" s="61"/>
      <c r="RWG2" s="61"/>
      <c r="RWH2" s="61"/>
      <c r="RWI2" s="61"/>
      <c r="RWJ2" s="61"/>
      <c r="RWK2" s="61"/>
      <c r="RWL2" s="61"/>
      <c r="RWM2" s="61"/>
      <c r="RWN2" s="61"/>
      <c r="RWO2" s="61"/>
      <c r="RWP2" s="61"/>
      <c r="RWQ2" s="61"/>
      <c r="RWR2" s="61"/>
      <c r="RWS2" s="61"/>
      <c r="RWT2" s="61"/>
      <c r="RWU2" s="61"/>
      <c r="RWV2" s="61"/>
      <c r="RWW2" s="61"/>
      <c r="RWX2" s="61"/>
      <c r="RWY2" s="61"/>
      <c r="RWZ2" s="61"/>
      <c r="RXA2" s="61"/>
      <c r="RXB2" s="61"/>
      <c r="RXC2" s="61"/>
      <c r="RXD2" s="61"/>
      <c r="RXE2" s="61"/>
      <c r="RXF2" s="61"/>
      <c r="RXG2" s="61"/>
      <c r="RXH2" s="61"/>
      <c r="RXI2" s="61"/>
      <c r="RXJ2" s="61"/>
      <c r="RXK2" s="61"/>
      <c r="RXL2" s="61"/>
      <c r="RXM2" s="61"/>
      <c r="RXN2" s="61"/>
      <c r="RXO2" s="61"/>
      <c r="RXP2" s="61"/>
      <c r="RXQ2" s="61"/>
      <c r="RXR2" s="61"/>
      <c r="RXS2" s="61"/>
      <c r="RXT2" s="61"/>
      <c r="RXU2" s="61"/>
      <c r="RXV2" s="61"/>
      <c r="RXW2" s="61"/>
      <c r="RXX2" s="61"/>
      <c r="RXY2" s="61"/>
      <c r="RXZ2" s="61"/>
      <c r="RYA2" s="61"/>
      <c r="RYB2" s="61"/>
      <c r="RYC2" s="61"/>
      <c r="RYD2" s="61"/>
      <c r="RYE2" s="61"/>
      <c r="RYF2" s="61"/>
      <c r="RYG2" s="61"/>
      <c r="RYH2" s="61"/>
      <c r="RYI2" s="61"/>
      <c r="RYJ2" s="61"/>
      <c r="RYK2" s="61"/>
      <c r="RYL2" s="61"/>
      <c r="RYM2" s="61"/>
      <c r="RYN2" s="61"/>
      <c r="RYO2" s="61"/>
      <c r="RYP2" s="61"/>
      <c r="RYQ2" s="61"/>
      <c r="RYR2" s="61"/>
      <c r="RYS2" s="61"/>
      <c r="RYT2" s="61"/>
      <c r="RYU2" s="61"/>
      <c r="RYV2" s="61"/>
      <c r="RYW2" s="61"/>
      <c r="RYX2" s="61"/>
      <c r="RYY2" s="61"/>
      <c r="RYZ2" s="61"/>
      <c r="RZA2" s="61"/>
      <c r="RZB2" s="61"/>
      <c r="RZC2" s="61"/>
      <c r="RZD2" s="61"/>
      <c r="RZE2" s="61"/>
      <c r="RZF2" s="61"/>
      <c r="RZG2" s="61"/>
      <c r="RZH2" s="61"/>
      <c r="RZI2" s="61"/>
      <c r="RZJ2" s="61"/>
      <c r="RZK2" s="61"/>
      <c r="RZL2" s="61"/>
      <c r="RZM2" s="61"/>
      <c r="RZN2" s="61"/>
      <c r="RZO2" s="61"/>
      <c r="RZP2" s="61"/>
      <c r="RZQ2" s="61"/>
      <c r="RZR2" s="61"/>
      <c r="RZS2" s="61"/>
      <c r="RZT2" s="61"/>
      <c r="RZU2" s="61"/>
      <c r="RZV2" s="61"/>
      <c r="RZW2" s="61"/>
      <c r="RZX2" s="61"/>
      <c r="RZY2" s="61"/>
      <c r="RZZ2" s="61"/>
      <c r="SAA2" s="61"/>
      <c r="SAB2" s="61"/>
      <c r="SAC2" s="61"/>
      <c r="SAD2" s="61"/>
      <c r="SAE2" s="61"/>
      <c r="SAF2" s="61"/>
      <c r="SAG2" s="61"/>
      <c r="SAH2" s="61"/>
      <c r="SAI2" s="61"/>
      <c r="SAJ2" s="61"/>
      <c r="SAK2" s="61"/>
      <c r="SAL2" s="61"/>
      <c r="SAM2" s="61"/>
      <c r="SAN2" s="61"/>
      <c r="SAO2" s="61"/>
      <c r="SAP2" s="61"/>
      <c r="SAQ2" s="61"/>
      <c r="SAR2" s="61"/>
      <c r="SAS2" s="61"/>
      <c r="SAT2" s="61"/>
      <c r="SAU2" s="61"/>
      <c r="SAV2" s="61"/>
      <c r="SAW2" s="61"/>
      <c r="SAX2" s="61"/>
      <c r="SAY2" s="61"/>
      <c r="SAZ2" s="61"/>
      <c r="SBA2" s="61"/>
      <c r="SBB2" s="61"/>
      <c r="SBC2" s="61"/>
      <c r="SBD2" s="61"/>
      <c r="SBE2" s="61"/>
      <c r="SBF2" s="61"/>
      <c r="SBG2" s="61"/>
      <c r="SBH2" s="61"/>
      <c r="SBI2" s="61"/>
      <c r="SBJ2" s="61"/>
      <c r="SBK2" s="61"/>
      <c r="SBL2" s="61"/>
      <c r="SBM2" s="61"/>
      <c r="SBN2" s="61"/>
      <c r="SBO2" s="61"/>
      <c r="SBP2" s="61"/>
      <c r="SBQ2" s="61"/>
      <c r="SBR2" s="61"/>
      <c r="SBS2" s="61"/>
      <c r="SBT2" s="61"/>
      <c r="SBU2" s="61"/>
      <c r="SBV2" s="61"/>
      <c r="SBW2" s="61"/>
      <c r="SBX2" s="61"/>
      <c r="SBY2" s="61"/>
      <c r="SBZ2" s="61"/>
      <c r="SCA2" s="61"/>
      <c r="SCB2" s="61"/>
      <c r="SCC2" s="61"/>
      <c r="SCD2" s="61"/>
      <c r="SCE2" s="61"/>
      <c r="SCF2" s="61"/>
      <c r="SCG2" s="61"/>
      <c r="SCH2" s="61"/>
      <c r="SCI2" s="61"/>
      <c r="SCJ2" s="61"/>
      <c r="SCK2" s="61"/>
      <c r="SCL2" s="61"/>
      <c r="SCM2" s="61"/>
      <c r="SCN2" s="61"/>
      <c r="SCO2" s="61"/>
      <c r="SCP2" s="61"/>
      <c r="SCQ2" s="61"/>
      <c r="SCR2" s="61"/>
      <c r="SCS2" s="61"/>
      <c r="SCT2" s="61"/>
      <c r="SCU2" s="61"/>
      <c r="SCV2" s="61"/>
      <c r="SCW2" s="61"/>
      <c r="SCX2" s="61"/>
      <c r="SCY2" s="61"/>
      <c r="SCZ2" s="61"/>
      <c r="SDA2" s="61"/>
      <c r="SDB2" s="61"/>
      <c r="SDC2" s="61"/>
      <c r="SDD2" s="61"/>
      <c r="SDE2" s="61"/>
      <c r="SDF2" s="61"/>
      <c r="SDG2" s="61"/>
      <c r="SDH2" s="61"/>
      <c r="SDI2" s="61"/>
      <c r="SDJ2" s="61"/>
      <c r="SDK2" s="61"/>
      <c r="SDL2" s="61"/>
      <c r="SDM2" s="61"/>
      <c r="SDN2" s="61"/>
      <c r="SDO2" s="61"/>
      <c r="SDP2" s="61"/>
      <c r="SDQ2" s="61"/>
      <c r="SDR2" s="61"/>
      <c r="SDS2" s="61"/>
      <c r="SDT2" s="61"/>
      <c r="SDU2" s="61"/>
      <c r="SDV2" s="61"/>
      <c r="SDW2" s="61"/>
      <c r="SDX2" s="61"/>
      <c r="SDY2" s="61"/>
      <c r="SDZ2" s="61"/>
      <c r="SEA2" s="61"/>
      <c r="SEB2" s="61"/>
      <c r="SEC2" s="61"/>
      <c r="SED2" s="61"/>
      <c r="SEE2" s="61"/>
      <c r="SEF2" s="61"/>
      <c r="SEG2" s="61"/>
      <c r="SEH2" s="61"/>
      <c r="SEI2" s="61"/>
      <c r="SEJ2" s="61"/>
      <c r="SEK2" s="61"/>
      <c r="SEL2" s="61"/>
      <c r="SEM2" s="61"/>
      <c r="SEN2" s="61"/>
      <c r="SEO2" s="61"/>
      <c r="SEP2" s="61"/>
      <c r="SEQ2" s="61"/>
      <c r="SER2" s="61"/>
      <c r="SES2" s="61"/>
      <c r="SET2" s="61"/>
      <c r="SEU2" s="61"/>
      <c r="SEV2" s="61"/>
      <c r="SEW2" s="61"/>
      <c r="SEX2" s="61"/>
      <c r="SEY2" s="61"/>
      <c r="SEZ2" s="61"/>
      <c r="SFA2" s="61"/>
      <c r="SFB2" s="61"/>
      <c r="SFC2" s="61"/>
      <c r="SFD2" s="61"/>
      <c r="SFE2" s="61"/>
      <c r="SFF2" s="61"/>
      <c r="SFG2" s="61"/>
      <c r="SFH2" s="61"/>
      <c r="SFI2" s="61"/>
      <c r="SFJ2" s="61"/>
      <c r="SFK2" s="61"/>
      <c r="SFL2" s="61"/>
      <c r="SFM2" s="61"/>
      <c r="SFN2" s="61"/>
      <c r="SFO2" s="61"/>
      <c r="SFP2" s="61"/>
      <c r="SFQ2" s="61"/>
      <c r="SFR2" s="61"/>
      <c r="SFS2" s="61"/>
      <c r="SFT2" s="61"/>
      <c r="SFU2" s="61"/>
      <c r="SFV2" s="61"/>
      <c r="SFW2" s="61"/>
      <c r="SFX2" s="61"/>
      <c r="SFY2" s="61"/>
      <c r="SFZ2" s="61"/>
      <c r="SGA2" s="61"/>
      <c r="SGB2" s="61"/>
      <c r="SGC2" s="61"/>
      <c r="SGD2" s="61"/>
      <c r="SGE2" s="61"/>
      <c r="SGF2" s="61"/>
      <c r="SGG2" s="61"/>
      <c r="SGH2" s="61"/>
      <c r="SGI2" s="61"/>
      <c r="SGJ2" s="61"/>
      <c r="SGK2" s="61"/>
      <c r="SGL2" s="61"/>
      <c r="SGM2" s="61"/>
      <c r="SGN2" s="61"/>
      <c r="SGO2" s="61"/>
      <c r="SGP2" s="61"/>
      <c r="SGQ2" s="61"/>
      <c r="SGR2" s="61"/>
      <c r="SGS2" s="61"/>
      <c r="SGT2" s="61"/>
      <c r="SGU2" s="61"/>
      <c r="SGV2" s="61"/>
      <c r="SGW2" s="61"/>
      <c r="SGX2" s="61"/>
      <c r="SGY2" s="61"/>
      <c r="SGZ2" s="61"/>
      <c r="SHA2" s="61"/>
      <c r="SHB2" s="61"/>
      <c r="SHC2" s="61"/>
      <c r="SHD2" s="61"/>
      <c r="SHE2" s="61"/>
      <c r="SHF2" s="61"/>
      <c r="SHG2" s="61"/>
      <c r="SHH2" s="61"/>
      <c r="SHI2" s="61"/>
      <c r="SHJ2" s="61"/>
      <c r="SHK2" s="61"/>
      <c r="SHL2" s="61"/>
      <c r="SHM2" s="61"/>
      <c r="SHN2" s="61"/>
      <c r="SHO2" s="61"/>
      <c r="SHP2" s="61"/>
      <c r="SHQ2" s="61"/>
      <c r="SHR2" s="61"/>
      <c r="SHS2" s="61"/>
      <c r="SHT2" s="61"/>
      <c r="SHU2" s="61"/>
      <c r="SHV2" s="61"/>
      <c r="SHW2" s="61"/>
      <c r="SHX2" s="61"/>
      <c r="SHY2" s="61"/>
      <c r="SHZ2" s="61"/>
      <c r="SIA2" s="61"/>
      <c r="SIB2" s="61"/>
      <c r="SIC2" s="61"/>
      <c r="SID2" s="61"/>
      <c r="SIE2" s="61"/>
      <c r="SIF2" s="61"/>
      <c r="SIG2" s="61"/>
      <c r="SIH2" s="61"/>
      <c r="SII2" s="61"/>
      <c r="SIJ2" s="61"/>
      <c r="SIK2" s="61"/>
      <c r="SIL2" s="61"/>
      <c r="SIM2" s="61"/>
      <c r="SIN2" s="61"/>
      <c r="SIO2" s="61"/>
      <c r="SIP2" s="61"/>
      <c r="SIQ2" s="61"/>
      <c r="SIR2" s="61"/>
      <c r="SIS2" s="61"/>
      <c r="SIT2" s="61"/>
      <c r="SIU2" s="61"/>
      <c r="SIV2" s="61"/>
      <c r="SIW2" s="61"/>
      <c r="SIX2" s="61"/>
      <c r="SIY2" s="61"/>
      <c r="SIZ2" s="61"/>
      <c r="SJA2" s="61"/>
      <c r="SJB2" s="61"/>
      <c r="SJC2" s="61"/>
      <c r="SJD2" s="61"/>
      <c r="SJE2" s="61"/>
      <c r="SJF2" s="61"/>
      <c r="SJG2" s="61"/>
      <c r="SJH2" s="61"/>
      <c r="SJI2" s="61"/>
      <c r="SJJ2" s="61"/>
      <c r="SJK2" s="61"/>
      <c r="SJL2" s="61"/>
      <c r="SJM2" s="61"/>
      <c r="SJN2" s="61"/>
      <c r="SJO2" s="61"/>
      <c r="SJP2" s="61"/>
      <c r="SJQ2" s="61"/>
      <c r="SJR2" s="61"/>
      <c r="SJS2" s="61"/>
      <c r="SJT2" s="61"/>
      <c r="SJU2" s="61"/>
      <c r="SJV2" s="61"/>
      <c r="SJW2" s="61"/>
      <c r="SJX2" s="61"/>
      <c r="SJY2" s="61"/>
      <c r="SJZ2" s="61"/>
      <c r="SKA2" s="61"/>
      <c r="SKB2" s="61"/>
      <c r="SKC2" s="61"/>
      <c r="SKD2" s="61"/>
      <c r="SKE2" s="61"/>
      <c r="SKF2" s="61"/>
      <c r="SKG2" s="61"/>
      <c r="SKH2" s="61"/>
      <c r="SKI2" s="61"/>
      <c r="SKJ2" s="61"/>
      <c r="SKK2" s="61"/>
      <c r="SKL2" s="61"/>
      <c r="SKM2" s="61"/>
      <c r="SKN2" s="61"/>
      <c r="SKO2" s="61"/>
      <c r="SKP2" s="61"/>
      <c r="SKQ2" s="61"/>
      <c r="SKR2" s="61"/>
      <c r="SKS2" s="61"/>
      <c r="SKT2" s="61"/>
      <c r="SKU2" s="61"/>
      <c r="SKV2" s="61"/>
      <c r="SKW2" s="61"/>
      <c r="SKX2" s="61"/>
      <c r="SKY2" s="61"/>
      <c r="SKZ2" s="61"/>
      <c r="SLA2" s="61"/>
      <c r="SLB2" s="61"/>
      <c r="SLC2" s="61"/>
      <c r="SLD2" s="61"/>
      <c r="SLE2" s="61"/>
      <c r="SLF2" s="61"/>
      <c r="SLG2" s="61"/>
      <c r="SLH2" s="61"/>
      <c r="SLI2" s="61"/>
      <c r="SLJ2" s="61"/>
      <c r="SLK2" s="61"/>
      <c r="SLL2" s="61"/>
      <c r="SLM2" s="61"/>
      <c r="SLN2" s="61"/>
      <c r="SLO2" s="61"/>
      <c r="SLP2" s="61"/>
      <c r="SLQ2" s="61"/>
      <c r="SLR2" s="61"/>
      <c r="SLS2" s="61"/>
      <c r="SLT2" s="61"/>
      <c r="SLU2" s="61"/>
      <c r="SLV2" s="61"/>
      <c r="SLW2" s="61"/>
      <c r="SLX2" s="61"/>
      <c r="SLY2" s="61"/>
      <c r="SLZ2" s="61"/>
      <c r="SMA2" s="61"/>
      <c r="SMB2" s="61"/>
      <c r="SMC2" s="61"/>
      <c r="SMD2" s="61"/>
      <c r="SME2" s="61"/>
      <c r="SMF2" s="61"/>
      <c r="SMG2" s="61"/>
      <c r="SMH2" s="61"/>
      <c r="SMI2" s="61"/>
      <c r="SMJ2" s="61"/>
      <c r="SMK2" s="61"/>
      <c r="SML2" s="61"/>
      <c r="SMM2" s="61"/>
      <c r="SMN2" s="61"/>
      <c r="SMO2" s="61"/>
      <c r="SMP2" s="61"/>
      <c r="SMQ2" s="61"/>
      <c r="SMR2" s="61"/>
      <c r="SMS2" s="61"/>
      <c r="SMT2" s="61"/>
      <c r="SMU2" s="61"/>
      <c r="SMV2" s="61"/>
      <c r="SMW2" s="61"/>
      <c r="SMX2" s="61"/>
      <c r="SMY2" s="61"/>
      <c r="SMZ2" s="61"/>
      <c r="SNA2" s="61"/>
      <c r="SNB2" s="61"/>
      <c r="SNC2" s="61"/>
      <c r="SND2" s="61"/>
      <c r="SNE2" s="61"/>
      <c r="SNF2" s="61"/>
      <c r="SNG2" s="61"/>
      <c r="SNH2" s="61"/>
      <c r="SNI2" s="61"/>
      <c r="SNJ2" s="61"/>
      <c r="SNK2" s="61"/>
      <c r="SNL2" s="61"/>
      <c r="SNM2" s="61"/>
      <c r="SNN2" s="61"/>
      <c r="SNO2" s="61"/>
      <c r="SNP2" s="61"/>
      <c r="SNQ2" s="61"/>
      <c r="SNR2" s="61"/>
      <c r="SNS2" s="61"/>
      <c r="SNT2" s="61"/>
      <c r="SNU2" s="61"/>
      <c r="SNV2" s="61"/>
      <c r="SNW2" s="61"/>
      <c r="SNX2" s="61"/>
      <c r="SNY2" s="61"/>
      <c r="SNZ2" s="61"/>
      <c r="SOA2" s="61"/>
      <c r="SOB2" s="61"/>
      <c r="SOC2" s="61"/>
      <c r="SOD2" s="61"/>
      <c r="SOE2" s="61"/>
      <c r="SOF2" s="61"/>
      <c r="SOG2" s="61"/>
      <c r="SOH2" s="61"/>
      <c r="SOI2" s="61"/>
      <c r="SOJ2" s="61"/>
      <c r="SOK2" s="61"/>
      <c r="SOL2" s="61"/>
      <c r="SOM2" s="61"/>
      <c r="SON2" s="61"/>
      <c r="SOO2" s="61"/>
      <c r="SOP2" s="61"/>
      <c r="SOQ2" s="61"/>
      <c r="SOR2" s="61"/>
      <c r="SOS2" s="61"/>
      <c r="SOT2" s="61"/>
      <c r="SOU2" s="61"/>
      <c r="SOV2" s="61"/>
      <c r="SOW2" s="61"/>
      <c r="SOX2" s="61"/>
      <c r="SOY2" s="61"/>
      <c r="SOZ2" s="61"/>
      <c r="SPA2" s="61"/>
      <c r="SPB2" s="61"/>
      <c r="SPC2" s="61"/>
      <c r="SPD2" s="61"/>
      <c r="SPE2" s="61"/>
      <c r="SPF2" s="61"/>
      <c r="SPG2" s="61"/>
      <c r="SPH2" s="61"/>
      <c r="SPI2" s="61"/>
      <c r="SPJ2" s="61"/>
      <c r="SPK2" s="61"/>
      <c r="SPL2" s="61"/>
      <c r="SPM2" s="61"/>
      <c r="SPN2" s="61"/>
      <c r="SPO2" s="61"/>
      <c r="SPP2" s="61"/>
      <c r="SPQ2" s="61"/>
      <c r="SPR2" s="61"/>
      <c r="SPS2" s="61"/>
      <c r="SPT2" s="61"/>
      <c r="SPU2" s="61"/>
      <c r="SPV2" s="61"/>
      <c r="SPW2" s="61"/>
      <c r="SPX2" s="61"/>
      <c r="SPY2" s="61"/>
      <c r="SPZ2" s="61"/>
      <c r="SQA2" s="61"/>
      <c r="SQB2" s="61"/>
      <c r="SQC2" s="61"/>
      <c r="SQD2" s="61"/>
      <c r="SQE2" s="61"/>
      <c r="SQF2" s="61"/>
      <c r="SQG2" s="61"/>
      <c r="SQH2" s="61"/>
      <c r="SQI2" s="61"/>
      <c r="SQJ2" s="61"/>
      <c r="SQK2" s="61"/>
      <c r="SQL2" s="61"/>
      <c r="SQM2" s="61"/>
      <c r="SQN2" s="61"/>
      <c r="SQO2" s="61"/>
      <c r="SQP2" s="61"/>
      <c r="SQQ2" s="61"/>
      <c r="SQR2" s="61"/>
      <c r="SQS2" s="61"/>
      <c r="SQT2" s="61"/>
      <c r="SQU2" s="61"/>
      <c r="SQV2" s="61"/>
      <c r="SQW2" s="61"/>
      <c r="SQX2" s="61"/>
      <c r="SQY2" s="61"/>
      <c r="SQZ2" s="61"/>
      <c r="SRA2" s="61"/>
      <c r="SRB2" s="61"/>
      <c r="SRC2" s="61"/>
      <c r="SRD2" s="61"/>
      <c r="SRE2" s="61"/>
      <c r="SRF2" s="61"/>
      <c r="SRG2" s="61"/>
      <c r="SRH2" s="61"/>
      <c r="SRI2" s="61"/>
      <c r="SRJ2" s="61"/>
      <c r="SRK2" s="61"/>
      <c r="SRL2" s="61"/>
      <c r="SRM2" s="61"/>
      <c r="SRN2" s="61"/>
      <c r="SRO2" s="61"/>
      <c r="SRP2" s="61"/>
      <c r="SRQ2" s="61"/>
      <c r="SRR2" s="61"/>
      <c r="SRS2" s="61"/>
      <c r="SRT2" s="61"/>
      <c r="SRU2" s="61"/>
      <c r="SRV2" s="61"/>
      <c r="SRW2" s="61"/>
      <c r="SRX2" s="61"/>
      <c r="SRY2" s="61"/>
      <c r="SRZ2" s="61"/>
      <c r="SSA2" s="61"/>
      <c r="SSB2" s="61"/>
      <c r="SSC2" s="61"/>
      <c r="SSD2" s="61"/>
      <c r="SSE2" s="61"/>
      <c r="SSF2" s="61"/>
      <c r="SSG2" s="61"/>
      <c r="SSH2" s="61"/>
      <c r="SSI2" s="61"/>
      <c r="SSJ2" s="61"/>
      <c r="SSK2" s="61"/>
      <c r="SSL2" s="61"/>
      <c r="SSM2" s="61"/>
      <c r="SSN2" s="61"/>
      <c r="SSO2" s="61"/>
      <c r="SSP2" s="61"/>
      <c r="SSQ2" s="61"/>
      <c r="SSR2" s="61"/>
      <c r="SSS2" s="61"/>
      <c r="SST2" s="61"/>
      <c r="SSU2" s="61"/>
      <c r="SSV2" s="61"/>
      <c r="SSW2" s="61"/>
      <c r="SSX2" s="61"/>
      <c r="SSY2" s="61"/>
      <c r="SSZ2" s="61"/>
      <c r="STA2" s="61"/>
      <c r="STB2" s="61"/>
      <c r="STC2" s="61"/>
      <c r="STD2" s="61"/>
      <c r="STE2" s="61"/>
      <c r="STF2" s="61"/>
      <c r="STG2" s="61"/>
      <c r="STH2" s="61"/>
      <c r="STI2" s="61"/>
      <c r="STJ2" s="61"/>
      <c r="STK2" s="61"/>
      <c r="STL2" s="61"/>
      <c r="STM2" s="61"/>
      <c r="STN2" s="61"/>
      <c r="STO2" s="61"/>
      <c r="STP2" s="61"/>
      <c r="STQ2" s="61"/>
      <c r="STR2" s="61"/>
      <c r="STS2" s="61"/>
      <c r="STT2" s="61"/>
      <c r="STU2" s="61"/>
      <c r="STV2" s="61"/>
      <c r="STW2" s="61"/>
      <c r="STX2" s="61"/>
      <c r="STY2" s="61"/>
      <c r="STZ2" s="61"/>
      <c r="SUA2" s="61"/>
      <c r="SUB2" s="61"/>
      <c r="SUC2" s="61"/>
      <c r="SUD2" s="61"/>
      <c r="SUE2" s="61"/>
      <c r="SUF2" s="61"/>
      <c r="SUG2" s="61"/>
      <c r="SUH2" s="61"/>
      <c r="SUI2" s="61"/>
      <c r="SUJ2" s="61"/>
      <c r="SUK2" s="61"/>
      <c r="SUL2" s="61"/>
      <c r="SUM2" s="61"/>
      <c r="SUN2" s="61"/>
      <c r="SUO2" s="61"/>
      <c r="SUP2" s="61"/>
      <c r="SUQ2" s="61"/>
      <c r="SUR2" s="61"/>
      <c r="SUS2" s="61"/>
      <c r="SUT2" s="61"/>
      <c r="SUU2" s="61"/>
      <c r="SUV2" s="61"/>
      <c r="SUW2" s="61"/>
      <c r="SUX2" s="61"/>
      <c r="SUY2" s="61"/>
      <c r="SUZ2" s="61"/>
      <c r="SVA2" s="61"/>
      <c r="SVB2" s="61"/>
      <c r="SVC2" s="61"/>
      <c r="SVD2" s="61"/>
      <c r="SVE2" s="61"/>
      <c r="SVF2" s="61"/>
      <c r="SVG2" s="61"/>
      <c r="SVH2" s="61"/>
      <c r="SVI2" s="61"/>
      <c r="SVJ2" s="61"/>
      <c r="SVK2" s="61"/>
      <c r="SVL2" s="61"/>
      <c r="SVM2" s="61"/>
      <c r="SVN2" s="61"/>
      <c r="SVO2" s="61"/>
      <c r="SVP2" s="61"/>
      <c r="SVQ2" s="61"/>
      <c r="SVR2" s="61"/>
      <c r="SVS2" s="61"/>
      <c r="SVT2" s="61"/>
      <c r="SVU2" s="61"/>
      <c r="SVV2" s="61"/>
      <c r="SVW2" s="61"/>
      <c r="SVX2" s="61"/>
      <c r="SVY2" s="61"/>
      <c r="SVZ2" s="61"/>
      <c r="SWA2" s="61"/>
      <c r="SWB2" s="61"/>
      <c r="SWC2" s="61"/>
      <c r="SWD2" s="61"/>
      <c r="SWE2" s="61"/>
      <c r="SWF2" s="61"/>
      <c r="SWG2" s="61"/>
      <c r="SWH2" s="61"/>
      <c r="SWI2" s="61"/>
      <c r="SWJ2" s="61"/>
      <c r="SWK2" s="61"/>
      <c r="SWL2" s="61"/>
      <c r="SWM2" s="61"/>
      <c r="SWN2" s="61"/>
      <c r="SWO2" s="61"/>
      <c r="SWP2" s="61"/>
      <c r="SWQ2" s="61"/>
      <c r="SWR2" s="61"/>
      <c r="SWS2" s="61"/>
      <c r="SWT2" s="61"/>
      <c r="SWU2" s="61"/>
      <c r="SWV2" s="61"/>
      <c r="SWW2" s="61"/>
      <c r="SWX2" s="61"/>
      <c r="SWY2" s="61"/>
      <c r="SWZ2" s="61"/>
      <c r="SXA2" s="61"/>
      <c r="SXB2" s="61"/>
      <c r="SXC2" s="61"/>
      <c r="SXD2" s="61"/>
      <c r="SXE2" s="61"/>
      <c r="SXF2" s="61"/>
      <c r="SXG2" s="61"/>
      <c r="SXH2" s="61"/>
      <c r="SXI2" s="61"/>
      <c r="SXJ2" s="61"/>
      <c r="SXK2" s="61"/>
      <c r="SXL2" s="61"/>
      <c r="SXM2" s="61"/>
      <c r="SXN2" s="61"/>
      <c r="SXO2" s="61"/>
      <c r="SXP2" s="61"/>
      <c r="SXQ2" s="61"/>
      <c r="SXR2" s="61"/>
      <c r="SXS2" s="61"/>
      <c r="SXT2" s="61"/>
      <c r="SXU2" s="61"/>
      <c r="SXV2" s="61"/>
      <c r="SXW2" s="61"/>
      <c r="SXX2" s="61"/>
      <c r="SXY2" s="61"/>
      <c r="SXZ2" s="61"/>
      <c r="SYA2" s="61"/>
      <c r="SYB2" s="61"/>
      <c r="SYC2" s="61"/>
      <c r="SYD2" s="61"/>
      <c r="SYE2" s="61"/>
      <c r="SYF2" s="61"/>
      <c r="SYG2" s="61"/>
      <c r="SYH2" s="61"/>
      <c r="SYI2" s="61"/>
      <c r="SYJ2" s="61"/>
      <c r="SYK2" s="61"/>
      <c r="SYL2" s="61"/>
      <c r="SYM2" s="61"/>
      <c r="SYN2" s="61"/>
      <c r="SYO2" s="61"/>
      <c r="SYP2" s="61"/>
      <c r="SYQ2" s="61"/>
      <c r="SYR2" s="61"/>
      <c r="SYS2" s="61"/>
      <c r="SYT2" s="61"/>
      <c r="SYU2" s="61"/>
      <c r="SYV2" s="61"/>
      <c r="SYW2" s="61"/>
      <c r="SYX2" s="61"/>
      <c r="SYY2" s="61"/>
      <c r="SYZ2" s="61"/>
      <c r="SZA2" s="61"/>
      <c r="SZB2" s="61"/>
      <c r="SZC2" s="61"/>
      <c r="SZD2" s="61"/>
      <c r="SZE2" s="61"/>
      <c r="SZF2" s="61"/>
      <c r="SZG2" s="61"/>
      <c r="SZH2" s="61"/>
      <c r="SZI2" s="61"/>
      <c r="SZJ2" s="61"/>
      <c r="SZK2" s="61"/>
      <c r="SZL2" s="61"/>
      <c r="SZM2" s="61"/>
      <c r="SZN2" s="61"/>
      <c r="SZO2" s="61"/>
      <c r="SZP2" s="61"/>
      <c r="SZQ2" s="61"/>
      <c r="SZR2" s="61"/>
      <c r="SZS2" s="61"/>
      <c r="SZT2" s="61"/>
      <c r="SZU2" s="61"/>
      <c r="SZV2" s="61"/>
      <c r="SZW2" s="61"/>
      <c r="SZX2" s="61"/>
      <c r="SZY2" s="61"/>
      <c r="SZZ2" s="61"/>
      <c r="TAA2" s="61"/>
      <c r="TAB2" s="61"/>
      <c r="TAC2" s="61"/>
      <c r="TAD2" s="61"/>
      <c r="TAE2" s="61"/>
      <c r="TAF2" s="61"/>
      <c r="TAG2" s="61"/>
      <c r="TAH2" s="61"/>
      <c r="TAI2" s="61"/>
      <c r="TAJ2" s="61"/>
      <c r="TAK2" s="61"/>
      <c r="TAL2" s="61"/>
      <c r="TAM2" s="61"/>
      <c r="TAN2" s="61"/>
      <c r="TAO2" s="61"/>
      <c r="TAP2" s="61"/>
      <c r="TAQ2" s="61"/>
      <c r="TAR2" s="61"/>
      <c r="TAS2" s="61"/>
      <c r="TAT2" s="61"/>
      <c r="TAU2" s="61"/>
      <c r="TAV2" s="61"/>
      <c r="TAW2" s="61"/>
      <c r="TAX2" s="61"/>
      <c r="TAY2" s="61"/>
      <c r="TAZ2" s="61"/>
      <c r="TBA2" s="61"/>
      <c r="TBB2" s="61"/>
      <c r="TBC2" s="61"/>
      <c r="TBD2" s="61"/>
      <c r="TBE2" s="61"/>
      <c r="TBF2" s="61"/>
      <c r="TBG2" s="61"/>
      <c r="TBH2" s="61"/>
      <c r="TBI2" s="61"/>
      <c r="TBJ2" s="61"/>
      <c r="TBK2" s="61"/>
      <c r="TBL2" s="61"/>
      <c r="TBM2" s="61"/>
      <c r="TBN2" s="61"/>
      <c r="TBO2" s="61"/>
      <c r="TBP2" s="61"/>
      <c r="TBQ2" s="61"/>
      <c r="TBR2" s="61"/>
      <c r="TBS2" s="61"/>
      <c r="TBT2" s="61"/>
      <c r="TBU2" s="61"/>
      <c r="TBV2" s="61"/>
      <c r="TBW2" s="61"/>
      <c r="TBX2" s="61"/>
      <c r="TBY2" s="61"/>
      <c r="TBZ2" s="61"/>
      <c r="TCA2" s="61"/>
      <c r="TCB2" s="61"/>
      <c r="TCC2" s="61"/>
      <c r="TCD2" s="61"/>
      <c r="TCE2" s="61"/>
      <c r="TCF2" s="61"/>
      <c r="TCG2" s="61"/>
      <c r="TCH2" s="61"/>
      <c r="TCI2" s="61"/>
      <c r="TCJ2" s="61"/>
      <c r="TCK2" s="61"/>
      <c r="TCL2" s="61"/>
      <c r="TCM2" s="61"/>
      <c r="TCN2" s="61"/>
      <c r="TCO2" s="61"/>
      <c r="TCP2" s="61"/>
      <c r="TCQ2" s="61"/>
      <c r="TCR2" s="61"/>
      <c r="TCS2" s="61"/>
      <c r="TCT2" s="61"/>
      <c r="TCU2" s="61"/>
      <c r="TCV2" s="61"/>
      <c r="TCW2" s="61"/>
      <c r="TCX2" s="61"/>
      <c r="TCY2" s="61"/>
      <c r="TCZ2" s="61"/>
      <c r="TDA2" s="61"/>
      <c r="TDB2" s="61"/>
      <c r="TDC2" s="61"/>
      <c r="TDD2" s="61"/>
      <c r="TDE2" s="61"/>
      <c r="TDF2" s="61"/>
      <c r="TDG2" s="61"/>
      <c r="TDH2" s="61"/>
      <c r="TDI2" s="61"/>
      <c r="TDJ2" s="61"/>
      <c r="TDK2" s="61"/>
      <c r="TDL2" s="61"/>
      <c r="TDM2" s="61"/>
      <c r="TDN2" s="61"/>
      <c r="TDO2" s="61"/>
      <c r="TDP2" s="61"/>
      <c r="TDQ2" s="61"/>
      <c r="TDR2" s="61"/>
      <c r="TDS2" s="61"/>
      <c r="TDT2" s="61"/>
      <c r="TDU2" s="61"/>
      <c r="TDV2" s="61"/>
      <c r="TDW2" s="61"/>
      <c r="TDX2" s="61"/>
      <c r="TDY2" s="61"/>
      <c r="TDZ2" s="61"/>
      <c r="TEA2" s="61"/>
      <c r="TEB2" s="61"/>
      <c r="TEC2" s="61"/>
      <c r="TED2" s="61"/>
      <c r="TEE2" s="61"/>
      <c r="TEF2" s="61"/>
      <c r="TEG2" s="61"/>
      <c r="TEH2" s="61"/>
      <c r="TEI2" s="61"/>
      <c r="TEJ2" s="61"/>
      <c r="TEK2" s="61"/>
      <c r="TEL2" s="61"/>
      <c r="TEM2" s="61"/>
      <c r="TEN2" s="61"/>
      <c r="TEO2" s="61"/>
      <c r="TEP2" s="61"/>
      <c r="TEQ2" s="61"/>
      <c r="TER2" s="61"/>
      <c r="TES2" s="61"/>
      <c r="TET2" s="61"/>
      <c r="TEU2" s="61"/>
      <c r="TEV2" s="61"/>
      <c r="TEW2" s="61"/>
      <c r="TEX2" s="61"/>
      <c r="TEY2" s="61"/>
      <c r="TEZ2" s="61"/>
      <c r="TFA2" s="61"/>
      <c r="TFB2" s="61"/>
      <c r="TFC2" s="61"/>
      <c r="TFD2" s="61"/>
      <c r="TFE2" s="61"/>
      <c r="TFF2" s="61"/>
      <c r="TFG2" s="61"/>
      <c r="TFH2" s="61"/>
      <c r="TFI2" s="61"/>
      <c r="TFJ2" s="61"/>
      <c r="TFK2" s="61"/>
      <c r="TFL2" s="61"/>
      <c r="TFM2" s="61"/>
      <c r="TFN2" s="61"/>
      <c r="TFO2" s="61"/>
      <c r="TFP2" s="61"/>
      <c r="TFQ2" s="61"/>
      <c r="TFR2" s="61"/>
      <c r="TFS2" s="61"/>
      <c r="TFT2" s="61"/>
      <c r="TFU2" s="61"/>
      <c r="TFV2" s="61"/>
      <c r="TFW2" s="61"/>
      <c r="TFX2" s="61"/>
      <c r="TFY2" s="61"/>
      <c r="TFZ2" s="61"/>
      <c r="TGA2" s="61"/>
      <c r="TGB2" s="61"/>
      <c r="TGC2" s="61"/>
      <c r="TGD2" s="61"/>
      <c r="TGE2" s="61"/>
      <c r="TGF2" s="61"/>
      <c r="TGG2" s="61"/>
      <c r="TGH2" s="61"/>
      <c r="TGI2" s="61"/>
      <c r="TGJ2" s="61"/>
      <c r="TGK2" s="61"/>
      <c r="TGL2" s="61"/>
      <c r="TGM2" s="61"/>
      <c r="TGN2" s="61"/>
      <c r="TGO2" s="61"/>
      <c r="TGP2" s="61"/>
      <c r="TGQ2" s="61"/>
      <c r="TGR2" s="61"/>
      <c r="TGS2" s="61"/>
      <c r="TGT2" s="61"/>
      <c r="TGU2" s="61"/>
      <c r="TGV2" s="61"/>
      <c r="TGW2" s="61"/>
      <c r="TGX2" s="61"/>
      <c r="TGY2" s="61"/>
      <c r="TGZ2" s="61"/>
      <c r="THA2" s="61"/>
      <c r="THB2" s="61"/>
      <c r="THC2" s="61"/>
      <c r="THD2" s="61"/>
      <c r="THE2" s="61"/>
      <c r="THF2" s="61"/>
      <c r="THG2" s="61"/>
      <c r="THH2" s="61"/>
      <c r="THI2" s="61"/>
      <c r="THJ2" s="61"/>
      <c r="THK2" s="61"/>
      <c r="THL2" s="61"/>
      <c r="THM2" s="61"/>
      <c r="THN2" s="61"/>
      <c r="THO2" s="61"/>
      <c r="THP2" s="61"/>
      <c r="THQ2" s="61"/>
      <c r="THR2" s="61"/>
      <c r="THS2" s="61"/>
      <c r="THT2" s="61"/>
      <c r="THU2" s="61"/>
      <c r="THV2" s="61"/>
      <c r="THW2" s="61"/>
      <c r="THX2" s="61"/>
      <c r="THY2" s="61"/>
      <c r="THZ2" s="61"/>
      <c r="TIA2" s="61"/>
      <c r="TIB2" s="61"/>
      <c r="TIC2" s="61"/>
      <c r="TID2" s="61"/>
      <c r="TIE2" s="61"/>
      <c r="TIF2" s="61"/>
      <c r="TIG2" s="61"/>
      <c r="TIH2" s="61"/>
      <c r="TII2" s="61"/>
      <c r="TIJ2" s="61"/>
      <c r="TIK2" s="61"/>
      <c r="TIL2" s="61"/>
      <c r="TIM2" s="61"/>
      <c r="TIN2" s="61"/>
      <c r="TIO2" s="61"/>
      <c r="TIP2" s="61"/>
      <c r="TIQ2" s="61"/>
      <c r="TIR2" s="61"/>
      <c r="TIS2" s="61"/>
      <c r="TIT2" s="61"/>
      <c r="TIU2" s="61"/>
      <c r="TIV2" s="61"/>
      <c r="TIW2" s="61"/>
      <c r="TIX2" s="61"/>
      <c r="TIY2" s="61"/>
      <c r="TIZ2" s="61"/>
      <c r="TJA2" s="61"/>
      <c r="TJB2" s="61"/>
      <c r="TJC2" s="61"/>
      <c r="TJD2" s="61"/>
      <c r="TJE2" s="61"/>
      <c r="TJF2" s="61"/>
      <c r="TJG2" s="61"/>
      <c r="TJH2" s="61"/>
      <c r="TJI2" s="61"/>
      <c r="TJJ2" s="61"/>
      <c r="TJK2" s="61"/>
      <c r="TJL2" s="61"/>
      <c r="TJM2" s="61"/>
      <c r="TJN2" s="61"/>
      <c r="TJO2" s="61"/>
      <c r="TJP2" s="61"/>
      <c r="TJQ2" s="61"/>
      <c r="TJR2" s="61"/>
      <c r="TJS2" s="61"/>
      <c r="TJT2" s="61"/>
      <c r="TJU2" s="61"/>
      <c r="TJV2" s="61"/>
      <c r="TJW2" s="61"/>
      <c r="TJX2" s="61"/>
      <c r="TJY2" s="61"/>
      <c r="TJZ2" s="61"/>
      <c r="TKA2" s="61"/>
      <c r="TKB2" s="61"/>
      <c r="TKC2" s="61"/>
      <c r="TKD2" s="61"/>
      <c r="TKE2" s="61"/>
      <c r="TKF2" s="61"/>
      <c r="TKG2" s="61"/>
      <c r="TKH2" s="61"/>
      <c r="TKI2" s="61"/>
      <c r="TKJ2" s="61"/>
      <c r="TKK2" s="61"/>
      <c r="TKL2" s="61"/>
      <c r="TKM2" s="61"/>
      <c r="TKN2" s="61"/>
      <c r="TKO2" s="61"/>
      <c r="TKP2" s="61"/>
      <c r="TKQ2" s="61"/>
      <c r="TKR2" s="61"/>
      <c r="TKS2" s="61"/>
      <c r="TKT2" s="61"/>
      <c r="TKU2" s="61"/>
      <c r="TKV2" s="61"/>
      <c r="TKW2" s="61"/>
      <c r="TKX2" s="61"/>
      <c r="TKY2" s="61"/>
      <c r="TKZ2" s="61"/>
      <c r="TLA2" s="61"/>
      <c r="TLB2" s="61"/>
      <c r="TLC2" s="61"/>
      <c r="TLD2" s="61"/>
      <c r="TLE2" s="61"/>
      <c r="TLF2" s="61"/>
      <c r="TLG2" s="61"/>
      <c r="TLH2" s="61"/>
      <c r="TLI2" s="61"/>
      <c r="TLJ2" s="61"/>
      <c r="TLK2" s="61"/>
      <c r="TLL2" s="61"/>
      <c r="TLM2" s="61"/>
      <c r="TLN2" s="61"/>
      <c r="TLO2" s="61"/>
      <c r="TLP2" s="61"/>
      <c r="TLQ2" s="61"/>
      <c r="TLR2" s="61"/>
      <c r="TLS2" s="61"/>
      <c r="TLT2" s="61"/>
      <c r="TLU2" s="61"/>
      <c r="TLV2" s="61"/>
      <c r="TLW2" s="61"/>
      <c r="TLX2" s="61"/>
      <c r="TLY2" s="61"/>
      <c r="TLZ2" s="61"/>
      <c r="TMA2" s="61"/>
      <c r="TMB2" s="61"/>
      <c r="TMC2" s="61"/>
      <c r="TMD2" s="61"/>
      <c r="TME2" s="61"/>
      <c r="TMF2" s="61"/>
      <c r="TMG2" s="61"/>
      <c r="TMH2" s="61"/>
      <c r="TMI2" s="61"/>
      <c r="TMJ2" s="61"/>
      <c r="TMK2" s="61"/>
      <c r="TML2" s="61"/>
      <c r="TMM2" s="61"/>
      <c r="TMN2" s="61"/>
      <c r="TMO2" s="61"/>
      <c r="TMP2" s="61"/>
      <c r="TMQ2" s="61"/>
      <c r="TMR2" s="61"/>
      <c r="TMS2" s="61"/>
      <c r="TMT2" s="61"/>
      <c r="TMU2" s="61"/>
      <c r="TMV2" s="61"/>
      <c r="TMW2" s="61"/>
      <c r="TMX2" s="61"/>
      <c r="TMY2" s="61"/>
      <c r="TMZ2" s="61"/>
      <c r="TNA2" s="61"/>
      <c r="TNB2" s="61"/>
      <c r="TNC2" s="61"/>
      <c r="TND2" s="61"/>
      <c r="TNE2" s="61"/>
      <c r="TNF2" s="61"/>
      <c r="TNG2" s="61"/>
      <c r="TNH2" s="61"/>
      <c r="TNI2" s="61"/>
      <c r="TNJ2" s="61"/>
      <c r="TNK2" s="61"/>
      <c r="TNL2" s="61"/>
      <c r="TNM2" s="61"/>
      <c r="TNN2" s="61"/>
      <c r="TNO2" s="61"/>
      <c r="TNP2" s="61"/>
      <c r="TNQ2" s="61"/>
      <c r="TNR2" s="61"/>
      <c r="TNS2" s="61"/>
      <c r="TNT2" s="61"/>
      <c r="TNU2" s="61"/>
      <c r="TNV2" s="61"/>
      <c r="TNW2" s="61"/>
      <c r="TNX2" s="61"/>
      <c r="TNY2" s="61"/>
      <c r="TNZ2" s="61"/>
      <c r="TOA2" s="61"/>
      <c r="TOB2" s="61"/>
      <c r="TOC2" s="61"/>
      <c r="TOD2" s="61"/>
      <c r="TOE2" s="61"/>
      <c r="TOF2" s="61"/>
      <c r="TOG2" s="61"/>
      <c r="TOH2" s="61"/>
      <c r="TOI2" s="61"/>
      <c r="TOJ2" s="61"/>
      <c r="TOK2" s="61"/>
      <c r="TOL2" s="61"/>
      <c r="TOM2" s="61"/>
      <c r="TON2" s="61"/>
      <c r="TOO2" s="61"/>
      <c r="TOP2" s="61"/>
      <c r="TOQ2" s="61"/>
      <c r="TOR2" s="61"/>
      <c r="TOS2" s="61"/>
      <c r="TOT2" s="61"/>
      <c r="TOU2" s="61"/>
      <c r="TOV2" s="61"/>
      <c r="TOW2" s="61"/>
      <c r="TOX2" s="61"/>
      <c r="TOY2" s="61"/>
      <c r="TOZ2" s="61"/>
      <c r="TPA2" s="61"/>
      <c r="TPB2" s="61"/>
      <c r="TPC2" s="61"/>
      <c r="TPD2" s="61"/>
      <c r="TPE2" s="61"/>
      <c r="TPF2" s="61"/>
      <c r="TPG2" s="61"/>
      <c r="TPH2" s="61"/>
      <c r="TPI2" s="61"/>
      <c r="TPJ2" s="61"/>
      <c r="TPK2" s="61"/>
      <c r="TPL2" s="61"/>
      <c r="TPM2" s="61"/>
      <c r="TPN2" s="61"/>
      <c r="TPO2" s="61"/>
      <c r="TPP2" s="61"/>
      <c r="TPQ2" s="61"/>
      <c r="TPR2" s="61"/>
      <c r="TPS2" s="61"/>
      <c r="TPT2" s="61"/>
      <c r="TPU2" s="61"/>
      <c r="TPV2" s="61"/>
      <c r="TPW2" s="61"/>
      <c r="TPX2" s="61"/>
      <c r="TPY2" s="61"/>
      <c r="TPZ2" s="61"/>
      <c r="TQA2" s="61"/>
      <c r="TQB2" s="61"/>
      <c r="TQC2" s="61"/>
      <c r="TQD2" s="61"/>
      <c r="TQE2" s="61"/>
      <c r="TQF2" s="61"/>
      <c r="TQG2" s="61"/>
      <c r="TQH2" s="61"/>
      <c r="TQI2" s="61"/>
      <c r="TQJ2" s="61"/>
      <c r="TQK2" s="61"/>
      <c r="TQL2" s="61"/>
      <c r="TQM2" s="61"/>
      <c r="TQN2" s="61"/>
      <c r="TQO2" s="61"/>
      <c r="TQP2" s="61"/>
      <c r="TQQ2" s="61"/>
      <c r="TQR2" s="61"/>
      <c r="TQS2" s="61"/>
      <c r="TQT2" s="61"/>
      <c r="TQU2" s="61"/>
      <c r="TQV2" s="61"/>
      <c r="TQW2" s="61"/>
      <c r="TQX2" s="61"/>
      <c r="TQY2" s="61"/>
      <c r="TQZ2" s="61"/>
      <c r="TRA2" s="61"/>
      <c r="TRB2" s="61"/>
      <c r="TRC2" s="61"/>
      <c r="TRD2" s="61"/>
      <c r="TRE2" s="61"/>
      <c r="TRF2" s="61"/>
      <c r="TRG2" s="61"/>
      <c r="TRH2" s="61"/>
      <c r="TRI2" s="61"/>
      <c r="TRJ2" s="61"/>
      <c r="TRK2" s="61"/>
      <c r="TRL2" s="61"/>
      <c r="TRM2" s="61"/>
      <c r="TRN2" s="61"/>
      <c r="TRO2" s="61"/>
      <c r="TRP2" s="61"/>
      <c r="TRQ2" s="61"/>
      <c r="TRR2" s="61"/>
      <c r="TRS2" s="61"/>
      <c r="TRT2" s="61"/>
      <c r="TRU2" s="61"/>
      <c r="TRV2" s="61"/>
      <c r="TRW2" s="61"/>
      <c r="TRX2" s="61"/>
      <c r="TRY2" s="61"/>
      <c r="TRZ2" s="61"/>
      <c r="TSA2" s="61"/>
      <c r="TSB2" s="61"/>
      <c r="TSC2" s="61"/>
      <c r="TSD2" s="61"/>
      <c r="TSE2" s="61"/>
      <c r="TSF2" s="61"/>
      <c r="TSG2" s="61"/>
      <c r="TSH2" s="61"/>
      <c r="TSI2" s="61"/>
      <c r="TSJ2" s="61"/>
      <c r="TSK2" s="61"/>
      <c r="TSL2" s="61"/>
      <c r="TSM2" s="61"/>
      <c r="TSN2" s="61"/>
      <c r="TSO2" s="61"/>
      <c r="TSP2" s="61"/>
      <c r="TSQ2" s="61"/>
      <c r="TSR2" s="61"/>
      <c r="TSS2" s="61"/>
      <c r="TST2" s="61"/>
      <c r="TSU2" s="61"/>
      <c r="TSV2" s="61"/>
      <c r="TSW2" s="61"/>
      <c r="TSX2" s="61"/>
      <c r="TSY2" s="61"/>
      <c r="TSZ2" s="61"/>
      <c r="TTA2" s="61"/>
      <c r="TTB2" s="61"/>
      <c r="TTC2" s="61"/>
      <c r="TTD2" s="61"/>
      <c r="TTE2" s="61"/>
      <c r="TTF2" s="61"/>
      <c r="TTG2" s="61"/>
      <c r="TTH2" s="61"/>
      <c r="TTI2" s="61"/>
      <c r="TTJ2" s="61"/>
      <c r="TTK2" s="61"/>
      <c r="TTL2" s="61"/>
      <c r="TTM2" s="61"/>
      <c r="TTN2" s="61"/>
      <c r="TTO2" s="61"/>
      <c r="TTP2" s="61"/>
      <c r="TTQ2" s="61"/>
      <c r="TTR2" s="61"/>
      <c r="TTS2" s="61"/>
      <c r="TTT2" s="61"/>
      <c r="TTU2" s="61"/>
      <c r="TTV2" s="61"/>
      <c r="TTW2" s="61"/>
      <c r="TTX2" s="61"/>
      <c r="TTY2" s="61"/>
      <c r="TTZ2" s="61"/>
      <c r="TUA2" s="61"/>
      <c r="TUB2" s="61"/>
      <c r="TUC2" s="61"/>
      <c r="TUD2" s="61"/>
      <c r="TUE2" s="61"/>
      <c r="TUF2" s="61"/>
      <c r="TUG2" s="61"/>
      <c r="TUH2" s="61"/>
      <c r="TUI2" s="61"/>
      <c r="TUJ2" s="61"/>
      <c r="TUK2" s="61"/>
      <c r="TUL2" s="61"/>
      <c r="TUM2" s="61"/>
      <c r="TUN2" s="61"/>
      <c r="TUO2" s="61"/>
      <c r="TUP2" s="61"/>
      <c r="TUQ2" s="61"/>
      <c r="TUR2" s="61"/>
      <c r="TUS2" s="61"/>
      <c r="TUT2" s="61"/>
      <c r="TUU2" s="61"/>
      <c r="TUV2" s="61"/>
      <c r="TUW2" s="61"/>
      <c r="TUX2" s="61"/>
      <c r="TUY2" s="61"/>
      <c r="TUZ2" s="61"/>
      <c r="TVA2" s="61"/>
      <c r="TVB2" s="61"/>
      <c r="TVC2" s="61"/>
      <c r="TVD2" s="61"/>
      <c r="TVE2" s="61"/>
      <c r="TVF2" s="61"/>
      <c r="TVG2" s="61"/>
      <c r="TVH2" s="61"/>
      <c r="TVI2" s="61"/>
      <c r="TVJ2" s="61"/>
      <c r="TVK2" s="61"/>
      <c r="TVL2" s="61"/>
      <c r="TVM2" s="61"/>
      <c r="TVN2" s="61"/>
      <c r="TVO2" s="61"/>
      <c r="TVP2" s="61"/>
      <c r="TVQ2" s="61"/>
      <c r="TVR2" s="61"/>
      <c r="TVS2" s="61"/>
      <c r="TVT2" s="61"/>
      <c r="TVU2" s="61"/>
      <c r="TVV2" s="61"/>
      <c r="TVW2" s="61"/>
      <c r="TVX2" s="61"/>
      <c r="TVY2" s="61"/>
      <c r="TVZ2" s="61"/>
      <c r="TWA2" s="61"/>
      <c r="TWB2" s="61"/>
      <c r="TWC2" s="61"/>
      <c r="TWD2" s="61"/>
      <c r="TWE2" s="61"/>
      <c r="TWF2" s="61"/>
      <c r="TWG2" s="61"/>
      <c r="TWH2" s="61"/>
      <c r="TWI2" s="61"/>
      <c r="TWJ2" s="61"/>
      <c r="TWK2" s="61"/>
      <c r="TWL2" s="61"/>
      <c r="TWM2" s="61"/>
      <c r="TWN2" s="61"/>
      <c r="TWO2" s="61"/>
      <c r="TWP2" s="61"/>
      <c r="TWQ2" s="61"/>
      <c r="TWR2" s="61"/>
      <c r="TWS2" s="61"/>
      <c r="TWT2" s="61"/>
      <c r="TWU2" s="61"/>
      <c r="TWV2" s="61"/>
      <c r="TWW2" s="61"/>
      <c r="TWX2" s="61"/>
      <c r="TWY2" s="61"/>
      <c r="TWZ2" s="61"/>
      <c r="TXA2" s="61"/>
      <c r="TXB2" s="61"/>
      <c r="TXC2" s="61"/>
      <c r="TXD2" s="61"/>
      <c r="TXE2" s="61"/>
      <c r="TXF2" s="61"/>
      <c r="TXG2" s="61"/>
      <c r="TXH2" s="61"/>
      <c r="TXI2" s="61"/>
      <c r="TXJ2" s="61"/>
      <c r="TXK2" s="61"/>
      <c r="TXL2" s="61"/>
      <c r="TXM2" s="61"/>
      <c r="TXN2" s="61"/>
      <c r="TXO2" s="61"/>
      <c r="TXP2" s="61"/>
      <c r="TXQ2" s="61"/>
      <c r="TXR2" s="61"/>
      <c r="TXS2" s="61"/>
      <c r="TXT2" s="61"/>
      <c r="TXU2" s="61"/>
      <c r="TXV2" s="61"/>
      <c r="TXW2" s="61"/>
      <c r="TXX2" s="61"/>
      <c r="TXY2" s="61"/>
      <c r="TXZ2" s="61"/>
      <c r="TYA2" s="61"/>
      <c r="TYB2" s="61"/>
      <c r="TYC2" s="61"/>
      <c r="TYD2" s="61"/>
      <c r="TYE2" s="61"/>
      <c r="TYF2" s="61"/>
      <c r="TYG2" s="61"/>
      <c r="TYH2" s="61"/>
      <c r="TYI2" s="61"/>
      <c r="TYJ2" s="61"/>
      <c r="TYK2" s="61"/>
      <c r="TYL2" s="61"/>
      <c r="TYM2" s="61"/>
      <c r="TYN2" s="61"/>
      <c r="TYO2" s="61"/>
      <c r="TYP2" s="61"/>
      <c r="TYQ2" s="61"/>
      <c r="TYR2" s="61"/>
      <c r="TYS2" s="61"/>
      <c r="TYT2" s="61"/>
      <c r="TYU2" s="61"/>
      <c r="TYV2" s="61"/>
      <c r="TYW2" s="61"/>
      <c r="TYX2" s="61"/>
      <c r="TYY2" s="61"/>
      <c r="TYZ2" s="61"/>
      <c r="TZA2" s="61"/>
      <c r="TZB2" s="61"/>
      <c r="TZC2" s="61"/>
      <c r="TZD2" s="61"/>
      <c r="TZE2" s="61"/>
      <c r="TZF2" s="61"/>
      <c r="TZG2" s="61"/>
      <c r="TZH2" s="61"/>
      <c r="TZI2" s="61"/>
      <c r="TZJ2" s="61"/>
      <c r="TZK2" s="61"/>
      <c r="TZL2" s="61"/>
      <c r="TZM2" s="61"/>
      <c r="TZN2" s="61"/>
      <c r="TZO2" s="61"/>
      <c r="TZP2" s="61"/>
      <c r="TZQ2" s="61"/>
      <c r="TZR2" s="61"/>
      <c r="TZS2" s="61"/>
      <c r="TZT2" s="61"/>
      <c r="TZU2" s="61"/>
      <c r="TZV2" s="61"/>
      <c r="TZW2" s="61"/>
      <c r="TZX2" s="61"/>
      <c r="TZY2" s="61"/>
      <c r="TZZ2" s="61"/>
      <c r="UAA2" s="61"/>
      <c r="UAB2" s="61"/>
      <c r="UAC2" s="61"/>
      <c r="UAD2" s="61"/>
      <c r="UAE2" s="61"/>
      <c r="UAF2" s="61"/>
      <c r="UAG2" s="61"/>
      <c r="UAH2" s="61"/>
      <c r="UAI2" s="61"/>
      <c r="UAJ2" s="61"/>
      <c r="UAK2" s="61"/>
      <c r="UAL2" s="61"/>
      <c r="UAM2" s="61"/>
      <c r="UAN2" s="61"/>
      <c r="UAO2" s="61"/>
      <c r="UAP2" s="61"/>
      <c r="UAQ2" s="61"/>
      <c r="UAR2" s="61"/>
      <c r="UAS2" s="61"/>
      <c r="UAT2" s="61"/>
      <c r="UAU2" s="61"/>
      <c r="UAV2" s="61"/>
      <c r="UAW2" s="61"/>
      <c r="UAX2" s="61"/>
      <c r="UAY2" s="61"/>
      <c r="UAZ2" s="61"/>
      <c r="UBA2" s="61"/>
      <c r="UBB2" s="61"/>
      <c r="UBC2" s="61"/>
      <c r="UBD2" s="61"/>
      <c r="UBE2" s="61"/>
      <c r="UBF2" s="61"/>
      <c r="UBG2" s="61"/>
      <c r="UBH2" s="61"/>
      <c r="UBI2" s="61"/>
      <c r="UBJ2" s="61"/>
      <c r="UBK2" s="61"/>
      <c r="UBL2" s="61"/>
      <c r="UBM2" s="61"/>
      <c r="UBN2" s="61"/>
      <c r="UBO2" s="61"/>
      <c r="UBP2" s="61"/>
      <c r="UBQ2" s="61"/>
      <c r="UBR2" s="61"/>
      <c r="UBS2" s="61"/>
      <c r="UBT2" s="61"/>
      <c r="UBU2" s="61"/>
      <c r="UBV2" s="61"/>
      <c r="UBW2" s="61"/>
      <c r="UBX2" s="61"/>
      <c r="UBY2" s="61"/>
      <c r="UBZ2" s="61"/>
      <c r="UCA2" s="61"/>
      <c r="UCB2" s="61"/>
      <c r="UCC2" s="61"/>
      <c r="UCD2" s="61"/>
      <c r="UCE2" s="61"/>
      <c r="UCF2" s="61"/>
      <c r="UCG2" s="61"/>
      <c r="UCH2" s="61"/>
      <c r="UCI2" s="61"/>
      <c r="UCJ2" s="61"/>
      <c r="UCK2" s="61"/>
      <c r="UCL2" s="61"/>
      <c r="UCM2" s="61"/>
      <c r="UCN2" s="61"/>
      <c r="UCO2" s="61"/>
      <c r="UCP2" s="61"/>
      <c r="UCQ2" s="61"/>
      <c r="UCR2" s="61"/>
      <c r="UCS2" s="61"/>
      <c r="UCT2" s="61"/>
      <c r="UCU2" s="61"/>
      <c r="UCV2" s="61"/>
      <c r="UCW2" s="61"/>
      <c r="UCX2" s="61"/>
      <c r="UCY2" s="61"/>
      <c r="UCZ2" s="61"/>
      <c r="UDA2" s="61"/>
      <c r="UDB2" s="61"/>
      <c r="UDC2" s="61"/>
      <c r="UDD2" s="61"/>
      <c r="UDE2" s="61"/>
      <c r="UDF2" s="61"/>
      <c r="UDG2" s="61"/>
      <c r="UDH2" s="61"/>
      <c r="UDI2" s="61"/>
      <c r="UDJ2" s="61"/>
      <c r="UDK2" s="61"/>
      <c r="UDL2" s="61"/>
      <c r="UDM2" s="61"/>
      <c r="UDN2" s="61"/>
      <c r="UDO2" s="61"/>
      <c r="UDP2" s="61"/>
      <c r="UDQ2" s="61"/>
      <c r="UDR2" s="61"/>
      <c r="UDS2" s="61"/>
      <c r="UDT2" s="61"/>
      <c r="UDU2" s="61"/>
      <c r="UDV2" s="61"/>
      <c r="UDW2" s="61"/>
      <c r="UDX2" s="61"/>
      <c r="UDY2" s="61"/>
      <c r="UDZ2" s="61"/>
      <c r="UEA2" s="61"/>
      <c r="UEB2" s="61"/>
      <c r="UEC2" s="61"/>
      <c r="UED2" s="61"/>
      <c r="UEE2" s="61"/>
      <c r="UEF2" s="61"/>
      <c r="UEG2" s="61"/>
      <c r="UEH2" s="61"/>
      <c r="UEI2" s="61"/>
      <c r="UEJ2" s="61"/>
      <c r="UEK2" s="61"/>
      <c r="UEL2" s="61"/>
      <c r="UEM2" s="61"/>
      <c r="UEN2" s="61"/>
      <c r="UEO2" s="61"/>
      <c r="UEP2" s="61"/>
      <c r="UEQ2" s="61"/>
      <c r="UER2" s="61"/>
      <c r="UES2" s="61"/>
      <c r="UET2" s="61"/>
      <c r="UEU2" s="61"/>
      <c r="UEV2" s="61"/>
      <c r="UEW2" s="61"/>
      <c r="UEX2" s="61"/>
      <c r="UEY2" s="61"/>
      <c r="UEZ2" s="61"/>
      <c r="UFA2" s="61"/>
      <c r="UFB2" s="61"/>
      <c r="UFC2" s="61"/>
      <c r="UFD2" s="61"/>
      <c r="UFE2" s="61"/>
      <c r="UFF2" s="61"/>
      <c r="UFG2" s="61"/>
      <c r="UFH2" s="61"/>
      <c r="UFI2" s="61"/>
      <c r="UFJ2" s="61"/>
      <c r="UFK2" s="61"/>
      <c r="UFL2" s="61"/>
      <c r="UFM2" s="61"/>
      <c r="UFN2" s="61"/>
      <c r="UFO2" s="61"/>
      <c r="UFP2" s="61"/>
      <c r="UFQ2" s="61"/>
      <c r="UFR2" s="61"/>
      <c r="UFS2" s="61"/>
      <c r="UFT2" s="61"/>
      <c r="UFU2" s="61"/>
      <c r="UFV2" s="61"/>
      <c r="UFW2" s="61"/>
      <c r="UFX2" s="61"/>
      <c r="UFY2" s="61"/>
      <c r="UFZ2" s="61"/>
      <c r="UGA2" s="61"/>
      <c r="UGB2" s="61"/>
      <c r="UGC2" s="61"/>
      <c r="UGD2" s="61"/>
      <c r="UGE2" s="61"/>
      <c r="UGF2" s="61"/>
      <c r="UGG2" s="61"/>
      <c r="UGH2" s="61"/>
      <c r="UGI2" s="61"/>
      <c r="UGJ2" s="61"/>
      <c r="UGK2" s="61"/>
      <c r="UGL2" s="61"/>
      <c r="UGM2" s="61"/>
      <c r="UGN2" s="61"/>
      <c r="UGO2" s="61"/>
      <c r="UGP2" s="61"/>
      <c r="UGQ2" s="61"/>
      <c r="UGR2" s="61"/>
      <c r="UGS2" s="61"/>
      <c r="UGT2" s="61"/>
      <c r="UGU2" s="61"/>
      <c r="UGV2" s="61"/>
      <c r="UGW2" s="61"/>
      <c r="UGX2" s="61"/>
      <c r="UGY2" s="61"/>
      <c r="UGZ2" s="61"/>
      <c r="UHA2" s="61"/>
      <c r="UHB2" s="61"/>
      <c r="UHC2" s="61"/>
      <c r="UHD2" s="61"/>
      <c r="UHE2" s="61"/>
      <c r="UHF2" s="61"/>
      <c r="UHG2" s="61"/>
      <c r="UHH2" s="61"/>
      <c r="UHI2" s="61"/>
      <c r="UHJ2" s="61"/>
      <c r="UHK2" s="61"/>
      <c r="UHL2" s="61"/>
      <c r="UHM2" s="61"/>
      <c r="UHN2" s="61"/>
      <c r="UHO2" s="61"/>
      <c r="UHP2" s="61"/>
      <c r="UHQ2" s="61"/>
      <c r="UHR2" s="61"/>
      <c r="UHS2" s="61"/>
      <c r="UHT2" s="61"/>
      <c r="UHU2" s="61"/>
      <c r="UHV2" s="61"/>
      <c r="UHW2" s="61"/>
      <c r="UHX2" s="61"/>
      <c r="UHY2" s="61"/>
      <c r="UHZ2" s="61"/>
      <c r="UIA2" s="61"/>
      <c r="UIB2" s="61"/>
      <c r="UIC2" s="61"/>
      <c r="UID2" s="61"/>
      <c r="UIE2" s="61"/>
      <c r="UIF2" s="61"/>
      <c r="UIG2" s="61"/>
      <c r="UIH2" s="61"/>
      <c r="UII2" s="61"/>
      <c r="UIJ2" s="61"/>
      <c r="UIK2" s="61"/>
      <c r="UIL2" s="61"/>
      <c r="UIM2" s="61"/>
      <c r="UIN2" s="61"/>
      <c r="UIO2" s="61"/>
      <c r="UIP2" s="61"/>
      <c r="UIQ2" s="61"/>
      <c r="UIR2" s="61"/>
      <c r="UIS2" s="61"/>
      <c r="UIT2" s="61"/>
      <c r="UIU2" s="61"/>
      <c r="UIV2" s="61"/>
      <c r="UIW2" s="61"/>
      <c r="UIX2" s="61"/>
      <c r="UIY2" s="61"/>
      <c r="UIZ2" s="61"/>
      <c r="UJA2" s="61"/>
      <c r="UJB2" s="61"/>
      <c r="UJC2" s="61"/>
      <c r="UJD2" s="61"/>
      <c r="UJE2" s="61"/>
      <c r="UJF2" s="61"/>
      <c r="UJG2" s="61"/>
      <c r="UJH2" s="61"/>
      <c r="UJI2" s="61"/>
      <c r="UJJ2" s="61"/>
      <c r="UJK2" s="61"/>
      <c r="UJL2" s="61"/>
      <c r="UJM2" s="61"/>
      <c r="UJN2" s="61"/>
      <c r="UJO2" s="61"/>
      <c r="UJP2" s="61"/>
      <c r="UJQ2" s="61"/>
      <c r="UJR2" s="61"/>
      <c r="UJS2" s="61"/>
      <c r="UJT2" s="61"/>
      <c r="UJU2" s="61"/>
      <c r="UJV2" s="61"/>
      <c r="UJW2" s="61"/>
      <c r="UJX2" s="61"/>
      <c r="UJY2" s="61"/>
      <c r="UJZ2" s="61"/>
      <c r="UKA2" s="61"/>
      <c r="UKB2" s="61"/>
      <c r="UKC2" s="61"/>
      <c r="UKD2" s="61"/>
      <c r="UKE2" s="61"/>
      <c r="UKF2" s="61"/>
      <c r="UKG2" s="61"/>
      <c r="UKH2" s="61"/>
      <c r="UKI2" s="61"/>
      <c r="UKJ2" s="61"/>
      <c r="UKK2" s="61"/>
      <c r="UKL2" s="61"/>
      <c r="UKM2" s="61"/>
      <c r="UKN2" s="61"/>
      <c r="UKO2" s="61"/>
      <c r="UKP2" s="61"/>
      <c r="UKQ2" s="61"/>
      <c r="UKR2" s="61"/>
      <c r="UKS2" s="61"/>
      <c r="UKT2" s="61"/>
      <c r="UKU2" s="61"/>
      <c r="UKV2" s="61"/>
      <c r="UKW2" s="61"/>
      <c r="UKX2" s="61"/>
      <c r="UKY2" s="61"/>
      <c r="UKZ2" s="61"/>
      <c r="ULA2" s="61"/>
      <c r="ULB2" s="61"/>
      <c r="ULC2" s="61"/>
      <c r="ULD2" s="61"/>
      <c r="ULE2" s="61"/>
      <c r="ULF2" s="61"/>
      <c r="ULG2" s="61"/>
      <c r="ULH2" s="61"/>
      <c r="ULI2" s="61"/>
      <c r="ULJ2" s="61"/>
      <c r="ULK2" s="61"/>
      <c r="ULL2" s="61"/>
      <c r="ULM2" s="61"/>
      <c r="ULN2" s="61"/>
      <c r="ULO2" s="61"/>
      <c r="ULP2" s="61"/>
      <c r="ULQ2" s="61"/>
      <c r="ULR2" s="61"/>
      <c r="ULS2" s="61"/>
      <c r="ULT2" s="61"/>
      <c r="ULU2" s="61"/>
      <c r="ULV2" s="61"/>
      <c r="ULW2" s="61"/>
      <c r="ULX2" s="61"/>
      <c r="ULY2" s="61"/>
      <c r="ULZ2" s="61"/>
      <c r="UMA2" s="61"/>
      <c r="UMB2" s="61"/>
      <c r="UMC2" s="61"/>
      <c r="UMD2" s="61"/>
      <c r="UME2" s="61"/>
      <c r="UMF2" s="61"/>
      <c r="UMG2" s="61"/>
      <c r="UMH2" s="61"/>
      <c r="UMI2" s="61"/>
      <c r="UMJ2" s="61"/>
      <c r="UMK2" s="61"/>
      <c r="UML2" s="61"/>
      <c r="UMM2" s="61"/>
      <c r="UMN2" s="61"/>
      <c r="UMO2" s="61"/>
      <c r="UMP2" s="61"/>
      <c r="UMQ2" s="61"/>
      <c r="UMR2" s="61"/>
      <c r="UMS2" s="61"/>
      <c r="UMT2" s="61"/>
      <c r="UMU2" s="61"/>
      <c r="UMV2" s="61"/>
      <c r="UMW2" s="61"/>
      <c r="UMX2" s="61"/>
      <c r="UMY2" s="61"/>
      <c r="UMZ2" s="61"/>
      <c r="UNA2" s="61"/>
      <c r="UNB2" s="61"/>
      <c r="UNC2" s="61"/>
      <c r="UND2" s="61"/>
      <c r="UNE2" s="61"/>
      <c r="UNF2" s="61"/>
      <c r="UNG2" s="61"/>
      <c r="UNH2" s="61"/>
      <c r="UNI2" s="61"/>
      <c r="UNJ2" s="61"/>
      <c r="UNK2" s="61"/>
      <c r="UNL2" s="61"/>
      <c r="UNM2" s="61"/>
      <c r="UNN2" s="61"/>
      <c r="UNO2" s="61"/>
      <c r="UNP2" s="61"/>
      <c r="UNQ2" s="61"/>
      <c r="UNR2" s="61"/>
      <c r="UNS2" s="61"/>
      <c r="UNT2" s="61"/>
      <c r="UNU2" s="61"/>
      <c r="UNV2" s="61"/>
      <c r="UNW2" s="61"/>
      <c r="UNX2" s="61"/>
      <c r="UNY2" s="61"/>
      <c r="UNZ2" s="61"/>
      <c r="UOA2" s="61"/>
      <c r="UOB2" s="61"/>
      <c r="UOC2" s="61"/>
      <c r="UOD2" s="61"/>
      <c r="UOE2" s="61"/>
      <c r="UOF2" s="61"/>
      <c r="UOG2" s="61"/>
      <c r="UOH2" s="61"/>
      <c r="UOI2" s="61"/>
      <c r="UOJ2" s="61"/>
      <c r="UOK2" s="61"/>
      <c r="UOL2" s="61"/>
      <c r="UOM2" s="61"/>
      <c r="UON2" s="61"/>
      <c r="UOO2" s="61"/>
      <c r="UOP2" s="61"/>
      <c r="UOQ2" s="61"/>
      <c r="UOR2" s="61"/>
      <c r="UOS2" s="61"/>
      <c r="UOT2" s="61"/>
      <c r="UOU2" s="61"/>
      <c r="UOV2" s="61"/>
      <c r="UOW2" s="61"/>
      <c r="UOX2" s="61"/>
      <c r="UOY2" s="61"/>
      <c r="UOZ2" s="61"/>
      <c r="UPA2" s="61"/>
      <c r="UPB2" s="61"/>
      <c r="UPC2" s="61"/>
      <c r="UPD2" s="61"/>
      <c r="UPE2" s="61"/>
      <c r="UPF2" s="61"/>
      <c r="UPG2" s="61"/>
      <c r="UPH2" s="61"/>
      <c r="UPI2" s="61"/>
      <c r="UPJ2" s="61"/>
      <c r="UPK2" s="61"/>
      <c r="UPL2" s="61"/>
      <c r="UPM2" s="61"/>
      <c r="UPN2" s="61"/>
      <c r="UPO2" s="61"/>
      <c r="UPP2" s="61"/>
      <c r="UPQ2" s="61"/>
      <c r="UPR2" s="61"/>
      <c r="UPS2" s="61"/>
      <c r="UPT2" s="61"/>
      <c r="UPU2" s="61"/>
      <c r="UPV2" s="61"/>
      <c r="UPW2" s="61"/>
      <c r="UPX2" s="61"/>
      <c r="UPY2" s="61"/>
      <c r="UPZ2" s="61"/>
      <c r="UQA2" s="61"/>
      <c r="UQB2" s="61"/>
      <c r="UQC2" s="61"/>
      <c r="UQD2" s="61"/>
      <c r="UQE2" s="61"/>
      <c r="UQF2" s="61"/>
      <c r="UQG2" s="61"/>
      <c r="UQH2" s="61"/>
      <c r="UQI2" s="61"/>
      <c r="UQJ2" s="61"/>
      <c r="UQK2" s="61"/>
      <c r="UQL2" s="61"/>
      <c r="UQM2" s="61"/>
      <c r="UQN2" s="61"/>
      <c r="UQO2" s="61"/>
      <c r="UQP2" s="61"/>
      <c r="UQQ2" s="61"/>
      <c r="UQR2" s="61"/>
      <c r="UQS2" s="61"/>
      <c r="UQT2" s="61"/>
      <c r="UQU2" s="61"/>
      <c r="UQV2" s="61"/>
      <c r="UQW2" s="61"/>
      <c r="UQX2" s="61"/>
      <c r="UQY2" s="61"/>
      <c r="UQZ2" s="61"/>
      <c r="URA2" s="61"/>
      <c r="URB2" s="61"/>
      <c r="URC2" s="61"/>
      <c r="URD2" s="61"/>
      <c r="URE2" s="61"/>
      <c r="URF2" s="61"/>
      <c r="URG2" s="61"/>
      <c r="URH2" s="61"/>
      <c r="URI2" s="61"/>
      <c r="URJ2" s="61"/>
      <c r="URK2" s="61"/>
      <c r="URL2" s="61"/>
      <c r="URM2" s="61"/>
      <c r="URN2" s="61"/>
      <c r="URO2" s="61"/>
      <c r="URP2" s="61"/>
      <c r="URQ2" s="61"/>
      <c r="URR2" s="61"/>
      <c r="URS2" s="61"/>
      <c r="URT2" s="61"/>
      <c r="URU2" s="61"/>
      <c r="URV2" s="61"/>
      <c r="URW2" s="61"/>
      <c r="URX2" s="61"/>
      <c r="URY2" s="61"/>
      <c r="URZ2" s="61"/>
      <c r="USA2" s="61"/>
      <c r="USB2" s="61"/>
      <c r="USC2" s="61"/>
      <c r="USD2" s="61"/>
      <c r="USE2" s="61"/>
      <c r="USF2" s="61"/>
      <c r="USG2" s="61"/>
      <c r="USH2" s="61"/>
      <c r="USI2" s="61"/>
      <c r="USJ2" s="61"/>
      <c r="USK2" s="61"/>
      <c r="USL2" s="61"/>
      <c r="USM2" s="61"/>
      <c r="USN2" s="61"/>
      <c r="USO2" s="61"/>
      <c r="USP2" s="61"/>
      <c r="USQ2" s="61"/>
      <c r="USR2" s="61"/>
      <c r="USS2" s="61"/>
      <c r="UST2" s="61"/>
      <c r="USU2" s="61"/>
      <c r="USV2" s="61"/>
      <c r="USW2" s="61"/>
      <c r="USX2" s="61"/>
      <c r="USY2" s="61"/>
      <c r="USZ2" s="61"/>
      <c r="UTA2" s="61"/>
      <c r="UTB2" s="61"/>
      <c r="UTC2" s="61"/>
      <c r="UTD2" s="61"/>
      <c r="UTE2" s="61"/>
      <c r="UTF2" s="61"/>
      <c r="UTG2" s="61"/>
      <c r="UTH2" s="61"/>
      <c r="UTI2" s="61"/>
      <c r="UTJ2" s="61"/>
      <c r="UTK2" s="61"/>
      <c r="UTL2" s="61"/>
      <c r="UTM2" s="61"/>
      <c r="UTN2" s="61"/>
      <c r="UTO2" s="61"/>
      <c r="UTP2" s="61"/>
      <c r="UTQ2" s="61"/>
      <c r="UTR2" s="61"/>
      <c r="UTS2" s="61"/>
      <c r="UTT2" s="61"/>
      <c r="UTU2" s="61"/>
      <c r="UTV2" s="61"/>
      <c r="UTW2" s="61"/>
      <c r="UTX2" s="61"/>
      <c r="UTY2" s="61"/>
      <c r="UTZ2" s="61"/>
      <c r="UUA2" s="61"/>
      <c r="UUB2" s="61"/>
      <c r="UUC2" s="61"/>
      <c r="UUD2" s="61"/>
      <c r="UUE2" s="61"/>
      <c r="UUF2" s="61"/>
      <c r="UUG2" s="61"/>
      <c r="UUH2" s="61"/>
      <c r="UUI2" s="61"/>
      <c r="UUJ2" s="61"/>
      <c r="UUK2" s="61"/>
      <c r="UUL2" s="61"/>
      <c r="UUM2" s="61"/>
      <c r="UUN2" s="61"/>
      <c r="UUO2" s="61"/>
      <c r="UUP2" s="61"/>
      <c r="UUQ2" s="61"/>
      <c r="UUR2" s="61"/>
      <c r="UUS2" s="61"/>
      <c r="UUT2" s="61"/>
      <c r="UUU2" s="61"/>
      <c r="UUV2" s="61"/>
      <c r="UUW2" s="61"/>
      <c r="UUX2" s="61"/>
      <c r="UUY2" s="61"/>
      <c r="UUZ2" s="61"/>
      <c r="UVA2" s="61"/>
      <c r="UVB2" s="61"/>
      <c r="UVC2" s="61"/>
      <c r="UVD2" s="61"/>
      <c r="UVE2" s="61"/>
      <c r="UVF2" s="61"/>
      <c r="UVG2" s="61"/>
      <c r="UVH2" s="61"/>
      <c r="UVI2" s="61"/>
      <c r="UVJ2" s="61"/>
      <c r="UVK2" s="61"/>
      <c r="UVL2" s="61"/>
      <c r="UVM2" s="61"/>
      <c r="UVN2" s="61"/>
      <c r="UVO2" s="61"/>
      <c r="UVP2" s="61"/>
      <c r="UVQ2" s="61"/>
      <c r="UVR2" s="61"/>
      <c r="UVS2" s="61"/>
      <c r="UVT2" s="61"/>
      <c r="UVU2" s="61"/>
      <c r="UVV2" s="61"/>
      <c r="UVW2" s="61"/>
      <c r="UVX2" s="61"/>
      <c r="UVY2" s="61"/>
      <c r="UVZ2" s="61"/>
      <c r="UWA2" s="61"/>
      <c r="UWB2" s="61"/>
      <c r="UWC2" s="61"/>
      <c r="UWD2" s="61"/>
      <c r="UWE2" s="61"/>
      <c r="UWF2" s="61"/>
      <c r="UWG2" s="61"/>
      <c r="UWH2" s="61"/>
      <c r="UWI2" s="61"/>
      <c r="UWJ2" s="61"/>
      <c r="UWK2" s="61"/>
      <c r="UWL2" s="61"/>
      <c r="UWM2" s="61"/>
      <c r="UWN2" s="61"/>
      <c r="UWO2" s="61"/>
      <c r="UWP2" s="61"/>
      <c r="UWQ2" s="61"/>
      <c r="UWR2" s="61"/>
      <c r="UWS2" s="61"/>
      <c r="UWT2" s="61"/>
      <c r="UWU2" s="61"/>
      <c r="UWV2" s="61"/>
      <c r="UWW2" s="61"/>
      <c r="UWX2" s="61"/>
      <c r="UWY2" s="61"/>
      <c r="UWZ2" s="61"/>
      <c r="UXA2" s="61"/>
      <c r="UXB2" s="61"/>
      <c r="UXC2" s="61"/>
      <c r="UXD2" s="61"/>
      <c r="UXE2" s="61"/>
      <c r="UXF2" s="61"/>
      <c r="UXG2" s="61"/>
      <c r="UXH2" s="61"/>
      <c r="UXI2" s="61"/>
      <c r="UXJ2" s="61"/>
      <c r="UXK2" s="61"/>
      <c r="UXL2" s="61"/>
      <c r="UXM2" s="61"/>
      <c r="UXN2" s="61"/>
      <c r="UXO2" s="61"/>
      <c r="UXP2" s="61"/>
      <c r="UXQ2" s="61"/>
      <c r="UXR2" s="61"/>
      <c r="UXS2" s="61"/>
      <c r="UXT2" s="61"/>
      <c r="UXU2" s="61"/>
      <c r="UXV2" s="61"/>
      <c r="UXW2" s="61"/>
      <c r="UXX2" s="61"/>
      <c r="UXY2" s="61"/>
      <c r="UXZ2" s="61"/>
      <c r="UYA2" s="61"/>
      <c r="UYB2" s="61"/>
      <c r="UYC2" s="61"/>
      <c r="UYD2" s="61"/>
      <c r="UYE2" s="61"/>
      <c r="UYF2" s="61"/>
      <c r="UYG2" s="61"/>
      <c r="UYH2" s="61"/>
      <c r="UYI2" s="61"/>
      <c r="UYJ2" s="61"/>
      <c r="UYK2" s="61"/>
      <c r="UYL2" s="61"/>
      <c r="UYM2" s="61"/>
      <c r="UYN2" s="61"/>
      <c r="UYO2" s="61"/>
      <c r="UYP2" s="61"/>
      <c r="UYQ2" s="61"/>
      <c r="UYR2" s="61"/>
      <c r="UYS2" s="61"/>
      <c r="UYT2" s="61"/>
      <c r="UYU2" s="61"/>
      <c r="UYV2" s="61"/>
      <c r="UYW2" s="61"/>
      <c r="UYX2" s="61"/>
      <c r="UYY2" s="61"/>
      <c r="UYZ2" s="61"/>
      <c r="UZA2" s="61"/>
      <c r="UZB2" s="61"/>
      <c r="UZC2" s="61"/>
      <c r="UZD2" s="61"/>
      <c r="UZE2" s="61"/>
      <c r="UZF2" s="61"/>
      <c r="UZG2" s="61"/>
      <c r="UZH2" s="61"/>
      <c r="UZI2" s="61"/>
      <c r="UZJ2" s="61"/>
      <c r="UZK2" s="61"/>
      <c r="UZL2" s="61"/>
      <c r="UZM2" s="61"/>
      <c r="UZN2" s="61"/>
      <c r="UZO2" s="61"/>
      <c r="UZP2" s="61"/>
      <c r="UZQ2" s="61"/>
      <c r="UZR2" s="61"/>
      <c r="UZS2" s="61"/>
      <c r="UZT2" s="61"/>
      <c r="UZU2" s="61"/>
      <c r="UZV2" s="61"/>
      <c r="UZW2" s="61"/>
      <c r="UZX2" s="61"/>
      <c r="UZY2" s="61"/>
      <c r="UZZ2" s="61"/>
      <c r="VAA2" s="61"/>
      <c r="VAB2" s="61"/>
      <c r="VAC2" s="61"/>
      <c r="VAD2" s="61"/>
      <c r="VAE2" s="61"/>
      <c r="VAF2" s="61"/>
      <c r="VAG2" s="61"/>
      <c r="VAH2" s="61"/>
      <c r="VAI2" s="61"/>
      <c r="VAJ2" s="61"/>
      <c r="VAK2" s="61"/>
      <c r="VAL2" s="61"/>
      <c r="VAM2" s="61"/>
      <c r="VAN2" s="61"/>
      <c r="VAO2" s="61"/>
      <c r="VAP2" s="61"/>
      <c r="VAQ2" s="61"/>
      <c r="VAR2" s="61"/>
      <c r="VAS2" s="61"/>
      <c r="VAT2" s="61"/>
      <c r="VAU2" s="61"/>
      <c r="VAV2" s="61"/>
      <c r="VAW2" s="61"/>
      <c r="VAX2" s="61"/>
      <c r="VAY2" s="61"/>
      <c r="VAZ2" s="61"/>
      <c r="VBA2" s="61"/>
      <c r="VBB2" s="61"/>
      <c r="VBC2" s="61"/>
      <c r="VBD2" s="61"/>
      <c r="VBE2" s="61"/>
      <c r="VBF2" s="61"/>
      <c r="VBG2" s="61"/>
      <c r="VBH2" s="61"/>
      <c r="VBI2" s="61"/>
      <c r="VBJ2" s="61"/>
      <c r="VBK2" s="61"/>
      <c r="VBL2" s="61"/>
      <c r="VBM2" s="61"/>
      <c r="VBN2" s="61"/>
      <c r="VBO2" s="61"/>
      <c r="VBP2" s="61"/>
      <c r="VBQ2" s="61"/>
      <c r="VBR2" s="61"/>
      <c r="VBS2" s="61"/>
      <c r="VBT2" s="61"/>
      <c r="VBU2" s="61"/>
      <c r="VBV2" s="61"/>
      <c r="VBW2" s="61"/>
      <c r="VBX2" s="61"/>
      <c r="VBY2" s="61"/>
      <c r="VBZ2" s="61"/>
      <c r="VCA2" s="61"/>
      <c r="VCB2" s="61"/>
      <c r="VCC2" s="61"/>
      <c r="VCD2" s="61"/>
      <c r="VCE2" s="61"/>
      <c r="VCF2" s="61"/>
      <c r="VCG2" s="61"/>
      <c r="VCH2" s="61"/>
      <c r="VCI2" s="61"/>
      <c r="VCJ2" s="61"/>
      <c r="VCK2" s="61"/>
      <c r="VCL2" s="61"/>
      <c r="VCM2" s="61"/>
      <c r="VCN2" s="61"/>
      <c r="VCO2" s="61"/>
      <c r="VCP2" s="61"/>
      <c r="VCQ2" s="61"/>
      <c r="VCR2" s="61"/>
      <c r="VCS2" s="61"/>
      <c r="VCT2" s="61"/>
      <c r="VCU2" s="61"/>
      <c r="VCV2" s="61"/>
      <c r="VCW2" s="61"/>
      <c r="VCX2" s="61"/>
      <c r="VCY2" s="61"/>
      <c r="VCZ2" s="61"/>
      <c r="VDA2" s="61"/>
      <c r="VDB2" s="61"/>
      <c r="VDC2" s="61"/>
      <c r="VDD2" s="61"/>
      <c r="VDE2" s="61"/>
      <c r="VDF2" s="61"/>
      <c r="VDG2" s="61"/>
      <c r="VDH2" s="61"/>
      <c r="VDI2" s="61"/>
      <c r="VDJ2" s="61"/>
      <c r="VDK2" s="61"/>
      <c r="VDL2" s="61"/>
      <c r="VDM2" s="61"/>
      <c r="VDN2" s="61"/>
      <c r="VDO2" s="61"/>
      <c r="VDP2" s="61"/>
      <c r="VDQ2" s="61"/>
      <c r="VDR2" s="61"/>
      <c r="VDS2" s="61"/>
      <c r="VDT2" s="61"/>
      <c r="VDU2" s="61"/>
      <c r="VDV2" s="61"/>
      <c r="VDW2" s="61"/>
      <c r="VDX2" s="61"/>
      <c r="VDY2" s="61"/>
      <c r="VDZ2" s="61"/>
      <c r="VEA2" s="61"/>
      <c r="VEB2" s="61"/>
      <c r="VEC2" s="61"/>
      <c r="VED2" s="61"/>
      <c r="VEE2" s="61"/>
      <c r="VEF2" s="61"/>
      <c r="VEG2" s="61"/>
      <c r="VEH2" s="61"/>
      <c r="VEI2" s="61"/>
      <c r="VEJ2" s="61"/>
      <c r="VEK2" s="61"/>
      <c r="VEL2" s="61"/>
      <c r="VEM2" s="61"/>
      <c r="VEN2" s="61"/>
      <c r="VEO2" s="61"/>
      <c r="VEP2" s="61"/>
      <c r="VEQ2" s="61"/>
      <c r="VER2" s="61"/>
      <c r="VES2" s="61"/>
      <c r="VET2" s="61"/>
      <c r="VEU2" s="61"/>
      <c r="VEV2" s="61"/>
      <c r="VEW2" s="61"/>
      <c r="VEX2" s="61"/>
      <c r="VEY2" s="61"/>
      <c r="VEZ2" s="61"/>
      <c r="VFA2" s="61"/>
      <c r="VFB2" s="61"/>
      <c r="VFC2" s="61"/>
      <c r="VFD2" s="61"/>
      <c r="VFE2" s="61"/>
      <c r="VFF2" s="61"/>
      <c r="VFG2" s="61"/>
      <c r="VFH2" s="61"/>
      <c r="VFI2" s="61"/>
      <c r="VFJ2" s="61"/>
      <c r="VFK2" s="61"/>
      <c r="VFL2" s="61"/>
      <c r="VFM2" s="61"/>
      <c r="VFN2" s="61"/>
      <c r="VFO2" s="61"/>
      <c r="VFP2" s="61"/>
      <c r="VFQ2" s="61"/>
      <c r="VFR2" s="61"/>
      <c r="VFS2" s="61"/>
      <c r="VFT2" s="61"/>
      <c r="VFU2" s="61"/>
      <c r="VFV2" s="61"/>
      <c r="VFW2" s="61"/>
      <c r="VFX2" s="61"/>
      <c r="VFY2" s="61"/>
      <c r="VFZ2" s="61"/>
      <c r="VGA2" s="61"/>
      <c r="VGB2" s="61"/>
      <c r="VGC2" s="61"/>
      <c r="VGD2" s="61"/>
      <c r="VGE2" s="61"/>
      <c r="VGF2" s="61"/>
      <c r="VGG2" s="61"/>
      <c r="VGH2" s="61"/>
      <c r="VGI2" s="61"/>
      <c r="VGJ2" s="61"/>
      <c r="VGK2" s="61"/>
      <c r="VGL2" s="61"/>
      <c r="VGM2" s="61"/>
      <c r="VGN2" s="61"/>
      <c r="VGO2" s="61"/>
      <c r="VGP2" s="61"/>
      <c r="VGQ2" s="61"/>
      <c r="VGR2" s="61"/>
      <c r="VGS2" s="61"/>
      <c r="VGT2" s="61"/>
      <c r="VGU2" s="61"/>
      <c r="VGV2" s="61"/>
      <c r="VGW2" s="61"/>
      <c r="VGX2" s="61"/>
      <c r="VGY2" s="61"/>
      <c r="VGZ2" s="61"/>
      <c r="VHA2" s="61"/>
      <c r="VHB2" s="61"/>
      <c r="VHC2" s="61"/>
      <c r="VHD2" s="61"/>
      <c r="VHE2" s="61"/>
      <c r="VHF2" s="61"/>
      <c r="VHG2" s="61"/>
      <c r="VHH2" s="61"/>
      <c r="VHI2" s="61"/>
      <c r="VHJ2" s="61"/>
      <c r="VHK2" s="61"/>
      <c r="VHL2" s="61"/>
      <c r="VHM2" s="61"/>
      <c r="VHN2" s="61"/>
      <c r="VHO2" s="61"/>
      <c r="VHP2" s="61"/>
      <c r="VHQ2" s="61"/>
      <c r="VHR2" s="61"/>
      <c r="VHS2" s="61"/>
      <c r="VHT2" s="61"/>
      <c r="VHU2" s="61"/>
      <c r="VHV2" s="61"/>
      <c r="VHW2" s="61"/>
      <c r="VHX2" s="61"/>
      <c r="VHY2" s="61"/>
      <c r="VHZ2" s="61"/>
      <c r="VIA2" s="61"/>
      <c r="VIB2" s="61"/>
      <c r="VIC2" s="61"/>
      <c r="VID2" s="61"/>
      <c r="VIE2" s="61"/>
      <c r="VIF2" s="61"/>
      <c r="VIG2" s="61"/>
      <c r="VIH2" s="61"/>
      <c r="VII2" s="61"/>
      <c r="VIJ2" s="61"/>
      <c r="VIK2" s="61"/>
      <c r="VIL2" s="61"/>
      <c r="VIM2" s="61"/>
      <c r="VIN2" s="61"/>
      <c r="VIO2" s="61"/>
      <c r="VIP2" s="61"/>
      <c r="VIQ2" s="61"/>
      <c r="VIR2" s="61"/>
      <c r="VIS2" s="61"/>
      <c r="VIT2" s="61"/>
      <c r="VIU2" s="61"/>
      <c r="VIV2" s="61"/>
      <c r="VIW2" s="61"/>
      <c r="VIX2" s="61"/>
      <c r="VIY2" s="61"/>
      <c r="VIZ2" s="61"/>
      <c r="VJA2" s="61"/>
      <c r="VJB2" s="61"/>
      <c r="VJC2" s="61"/>
      <c r="VJD2" s="61"/>
      <c r="VJE2" s="61"/>
      <c r="VJF2" s="61"/>
      <c r="VJG2" s="61"/>
      <c r="VJH2" s="61"/>
      <c r="VJI2" s="61"/>
      <c r="VJJ2" s="61"/>
      <c r="VJK2" s="61"/>
      <c r="VJL2" s="61"/>
      <c r="VJM2" s="61"/>
      <c r="VJN2" s="61"/>
      <c r="VJO2" s="61"/>
      <c r="VJP2" s="61"/>
      <c r="VJQ2" s="61"/>
      <c r="VJR2" s="61"/>
      <c r="VJS2" s="61"/>
      <c r="VJT2" s="61"/>
      <c r="VJU2" s="61"/>
      <c r="VJV2" s="61"/>
      <c r="VJW2" s="61"/>
      <c r="VJX2" s="61"/>
      <c r="VJY2" s="61"/>
      <c r="VJZ2" s="61"/>
      <c r="VKA2" s="61"/>
      <c r="VKB2" s="61"/>
      <c r="VKC2" s="61"/>
      <c r="VKD2" s="61"/>
      <c r="VKE2" s="61"/>
      <c r="VKF2" s="61"/>
      <c r="VKG2" s="61"/>
      <c r="VKH2" s="61"/>
      <c r="VKI2" s="61"/>
      <c r="VKJ2" s="61"/>
      <c r="VKK2" s="61"/>
      <c r="VKL2" s="61"/>
      <c r="VKM2" s="61"/>
      <c r="VKN2" s="61"/>
      <c r="VKO2" s="61"/>
      <c r="VKP2" s="61"/>
      <c r="VKQ2" s="61"/>
      <c r="VKR2" s="61"/>
      <c r="VKS2" s="61"/>
      <c r="VKT2" s="61"/>
      <c r="VKU2" s="61"/>
      <c r="VKV2" s="61"/>
      <c r="VKW2" s="61"/>
      <c r="VKX2" s="61"/>
      <c r="VKY2" s="61"/>
      <c r="VKZ2" s="61"/>
      <c r="VLA2" s="61"/>
      <c r="VLB2" s="61"/>
      <c r="VLC2" s="61"/>
      <c r="VLD2" s="61"/>
      <c r="VLE2" s="61"/>
      <c r="VLF2" s="61"/>
      <c r="VLG2" s="61"/>
      <c r="VLH2" s="61"/>
      <c r="VLI2" s="61"/>
      <c r="VLJ2" s="61"/>
      <c r="VLK2" s="61"/>
      <c r="VLL2" s="61"/>
      <c r="VLM2" s="61"/>
      <c r="VLN2" s="61"/>
      <c r="VLO2" s="61"/>
      <c r="VLP2" s="61"/>
      <c r="VLQ2" s="61"/>
      <c r="VLR2" s="61"/>
      <c r="VLS2" s="61"/>
      <c r="VLT2" s="61"/>
      <c r="VLU2" s="61"/>
      <c r="VLV2" s="61"/>
      <c r="VLW2" s="61"/>
      <c r="VLX2" s="61"/>
      <c r="VLY2" s="61"/>
      <c r="VLZ2" s="61"/>
      <c r="VMA2" s="61"/>
      <c r="VMB2" s="61"/>
      <c r="VMC2" s="61"/>
      <c r="VMD2" s="61"/>
      <c r="VME2" s="61"/>
      <c r="VMF2" s="61"/>
      <c r="VMG2" s="61"/>
      <c r="VMH2" s="61"/>
      <c r="VMI2" s="61"/>
      <c r="VMJ2" s="61"/>
      <c r="VMK2" s="61"/>
      <c r="VML2" s="61"/>
      <c r="VMM2" s="61"/>
      <c r="VMN2" s="61"/>
      <c r="VMO2" s="61"/>
      <c r="VMP2" s="61"/>
      <c r="VMQ2" s="61"/>
      <c r="VMR2" s="61"/>
      <c r="VMS2" s="61"/>
      <c r="VMT2" s="61"/>
      <c r="VMU2" s="61"/>
      <c r="VMV2" s="61"/>
      <c r="VMW2" s="61"/>
      <c r="VMX2" s="61"/>
      <c r="VMY2" s="61"/>
      <c r="VMZ2" s="61"/>
      <c r="VNA2" s="61"/>
      <c r="VNB2" s="61"/>
      <c r="VNC2" s="61"/>
      <c r="VND2" s="61"/>
      <c r="VNE2" s="61"/>
      <c r="VNF2" s="61"/>
      <c r="VNG2" s="61"/>
      <c r="VNH2" s="61"/>
      <c r="VNI2" s="61"/>
      <c r="VNJ2" s="61"/>
      <c r="VNK2" s="61"/>
      <c r="VNL2" s="61"/>
      <c r="VNM2" s="61"/>
      <c r="VNN2" s="61"/>
      <c r="VNO2" s="61"/>
      <c r="VNP2" s="61"/>
      <c r="VNQ2" s="61"/>
      <c r="VNR2" s="61"/>
      <c r="VNS2" s="61"/>
      <c r="VNT2" s="61"/>
      <c r="VNU2" s="61"/>
      <c r="VNV2" s="61"/>
      <c r="VNW2" s="61"/>
      <c r="VNX2" s="61"/>
      <c r="VNY2" s="61"/>
      <c r="VNZ2" s="61"/>
      <c r="VOA2" s="61"/>
      <c r="VOB2" s="61"/>
      <c r="VOC2" s="61"/>
      <c r="VOD2" s="61"/>
      <c r="VOE2" s="61"/>
      <c r="VOF2" s="61"/>
      <c r="VOG2" s="61"/>
      <c r="VOH2" s="61"/>
      <c r="VOI2" s="61"/>
      <c r="VOJ2" s="61"/>
      <c r="VOK2" s="61"/>
      <c r="VOL2" s="61"/>
      <c r="VOM2" s="61"/>
      <c r="VON2" s="61"/>
      <c r="VOO2" s="61"/>
      <c r="VOP2" s="61"/>
      <c r="VOQ2" s="61"/>
      <c r="VOR2" s="61"/>
      <c r="VOS2" s="61"/>
      <c r="VOT2" s="61"/>
      <c r="VOU2" s="61"/>
      <c r="VOV2" s="61"/>
      <c r="VOW2" s="61"/>
      <c r="VOX2" s="61"/>
      <c r="VOY2" s="61"/>
      <c r="VOZ2" s="61"/>
      <c r="VPA2" s="61"/>
      <c r="VPB2" s="61"/>
      <c r="VPC2" s="61"/>
      <c r="VPD2" s="61"/>
      <c r="VPE2" s="61"/>
      <c r="VPF2" s="61"/>
      <c r="VPG2" s="61"/>
      <c r="VPH2" s="61"/>
      <c r="VPI2" s="61"/>
      <c r="VPJ2" s="61"/>
      <c r="VPK2" s="61"/>
      <c r="VPL2" s="61"/>
      <c r="VPM2" s="61"/>
      <c r="VPN2" s="61"/>
      <c r="VPO2" s="61"/>
      <c r="VPP2" s="61"/>
      <c r="VPQ2" s="61"/>
      <c r="VPR2" s="61"/>
      <c r="VPS2" s="61"/>
      <c r="VPT2" s="61"/>
      <c r="VPU2" s="61"/>
      <c r="VPV2" s="61"/>
      <c r="VPW2" s="61"/>
      <c r="VPX2" s="61"/>
      <c r="VPY2" s="61"/>
      <c r="VPZ2" s="61"/>
      <c r="VQA2" s="61"/>
      <c r="VQB2" s="61"/>
      <c r="VQC2" s="61"/>
      <c r="VQD2" s="61"/>
      <c r="VQE2" s="61"/>
      <c r="VQF2" s="61"/>
      <c r="VQG2" s="61"/>
      <c r="VQH2" s="61"/>
      <c r="VQI2" s="61"/>
      <c r="VQJ2" s="61"/>
      <c r="VQK2" s="61"/>
      <c r="VQL2" s="61"/>
      <c r="VQM2" s="61"/>
      <c r="VQN2" s="61"/>
      <c r="VQO2" s="61"/>
      <c r="VQP2" s="61"/>
      <c r="VQQ2" s="61"/>
      <c r="VQR2" s="61"/>
      <c r="VQS2" s="61"/>
      <c r="VQT2" s="61"/>
      <c r="VQU2" s="61"/>
      <c r="VQV2" s="61"/>
      <c r="VQW2" s="61"/>
      <c r="VQX2" s="61"/>
      <c r="VQY2" s="61"/>
      <c r="VQZ2" s="61"/>
      <c r="VRA2" s="61"/>
      <c r="VRB2" s="61"/>
      <c r="VRC2" s="61"/>
      <c r="VRD2" s="61"/>
      <c r="VRE2" s="61"/>
      <c r="VRF2" s="61"/>
      <c r="VRG2" s="61"/>
      <c r="VRH2" s="61"/>
      <c r="VRI2" s="61"/>
      <c r="VRJ2" s="61"/>
      <c r="VRK2" s="61"/>
      <c r="VRL2" s="61"/>
      <c r="VRM2" s="61"/>
      <c r="VRN2" s="61"/>
      <c r="VRO2" s="61"/>
      <c r="VRP2" s="61"/>
      <c r="VRQ2" s="61"/>
      <c r="VRR2" s="61"/>
      <c r="VRS2" s="61"/>
      <c r="VRT2" s="61"/>
      <c r="VRU2" s="61"/>
      <c r="VRV2" s="61"/>
      <c r="VRW2" s="61"/>
      <c r="VRX2" s="61"/>
      <c r="VRY2" s="61"/>
      <c r="VRZ2" s="61"/>
      <c r="VSA2" s="61"/>
      <c r="VSB2" s="61"/>
      <c r="VSC2" s="61"/>
      <c r="VSD2" s="61"/>
      <c r="VSE2" s="61"/>
      <c r="VSF2" s="61"/>
      <c r="VSG2" s="61"/>
      <c r="VSH2" s="61"/>
      <c r="VSI2" s="61"/>
      <c r="VSJ2" s="61"/>
      <c r="VSK2" s="61"/>
      <c r="VSL2" s="61"/>
      <c r="VSM2" s="61"/>
      <c r="VSN2" s="61"/>
      <c r="VSO2" s="61"/>
      <c r="VSP2" s="61"/>
      <c r="VSQ2" s="61"/>
      <c r="VSR2" s="61"/>
      <c r="VSS2" s="61"/>
      <c r="VST2" s="61"/>
      <c r="VSU2" s="61"/>
      <c r="VSV2" s="61"/>
      <c r="VSW2" s="61"/>
      <c r="VSX2" s="61"/>
      <c r="VSY2" s="61"/>
      <c r="VSZ2" s="61"/>
      <c r="VTA2" s="61"/>
      <c r="VTB2" s="61"/>
      <c r="VTC2" s="61"/>
      <c r="VTD2" s="61"/>
      <c r="VTE2" s="61"/>
      <c r="VTF2" s="61"/>
      <c r="VTG2" s="61"/>
      <c r="VTH2" s="61"/>
      <c r="VTI2" s="61"/>
      <c r="VTJ2" s="61"/>
      <c r="VTK2" s="61"/>
      <c r="VTL2" s="61"/>
      <c r="VTM2" s="61"/>
      <c r="VTN2" s="61"/>
      <c r="VTO2" s="61"/>
      <c r="VTP2" s="61"/>
      <c r="VTQ2" s="61"/>
      <c r="VTR2" s="61"/>
      <c r="VTS2" s="61"/>
      <c r="VTT2" s="61"/>
      <c r="VTU2" s="61"/>
      <c r="VTV2" s="61"/>
      <c r="VTW2" s="61"/>
      <c r="VTX2" s="61"/>
      <c r="VTY2" s="61"/>
      <c r="VTZ2" s="61"/>
      <c r="VUA2" s="61"/>
      <c r="VUB2" s="61"/>
      <c r="VUC2" s="61"/>
      <c r="VUD2" s="61"/>
      <c r="VUE2" s="61"/>
      <c r="VUF2" s="61"/>
      <c r="VUG2" s="61"/>
      <c r="VUH2" s="61"/>
      <c r="VUI2" s="61"/>
      <c r="VUJ2" s="61"/>
      <c r="VUK2" s="61"/>
      <c r="VUL2" s="61"/>
      <c r="VUM2" s="61"/>
      <c r="VUN2" s="61"/>
      <c r="VUO2" s="61"/>
      <c r="VUP2" s="61"/>
      <c r="VUQ2" s="61"/>
      <c r="VUR2" s="61"/>
      <c r="VUS2" s="61"/>
      <c r="VUT2" s="61"/>
      <c r="VUU2" s="61"/>
      <c r="VUV2" s="61"/>
      <c r="VUW2" s="61"/>
      <c r="VUX2" s="61"/>
      <c r="VUY2" s="61"/>
      <c r="VUZ2" s="61"/>
      <c r="VVA2" s="61"/>
      <c r="VVB2" s="61"/>
      <c r="VVC2" s="61"/>
      <c r="VVD2" s="61"/>
      <c r="VVE2" s="61"/>
      <c r="VVF2" s="61"/>
      <c r="VVG2" s="61"/>
      <c r="VVH2" s="61"/>
      <c r="VVI2" s="61"/>
      <c r="VVJ2" s="61"/>
      <c r="VVK2" s="61"/>
      <c r="VVL2" s="61"/>
      <c r="VVM2" s="61"/>
      <c r="VVN2" s="61"/>
      <c r="VVO2" s="61"/>
      <c r="VVP2" s="61"/>
      <c r="VVQ2" s="61"/>
      <c r="VVR2" s="61"/>
      <c r="VVS2" s="61"/>
      <c r="VVT2" s="61"/>
      <c r="VVU2" s="61"/>
      <c r="VVV2" s="61"/>
      <c r="VVW2" s="61"/>
      <c r="VVX2" s="61"/>
      <c r="VVY2" s="61"/>
      <c r="VVZ2" s="61"/>
      <c r="VWA2" s="61"/>
      <c r="VWB2" s="61"/>
      <c r="VWC2" s="61"/>
      <c r="VWD2" s="61"/>
      <c r="VWE2" s="61"/>
      <c r="VWF2" s="61"/>
      <c r="VWG2" s="61"/>
      <c r="VWH2" s="61"/>
      <c r="VWI2" s="61"/>
      <c r="VWJ2" s="61"/>
      <c r="VWK2" s="61"/>
      <c r="VWL2" s="61"/>
      <c r="VWM2" s="61"/>
      <c r="VWN2" s="61"/>
      <c r="VWO2" s="61"/>
      <c r="VWP2" s="61"/>
      <c r="VWQ2" s="61"/>
      <c r="VWR2" s="61"/>
      <c r="VWS2" s="61"/>
      <c r="VWT2" s="61"/>
      <c r="VWU2" s="61"/>
      <c r="VWV2" s="61"/>
      <c r="VWW2" s="61"/>
      <c r="VWX2" s="61"/>
      <c r="VWY2" s="61"/>
      <c r="VWZ2" s="61"/>
      <c r="VXA2" s="61"/>
      <c r="VXB2" s="61"/>
      <c r="VXC2" s="61"/>
      <c r="VXD2" s="61"/>
      <c r="VXE2" s="61"/>
      <c r="VXF2" s="61"/>
      <c r="VXG2" s="61"/>
      <c r="VXH2" s="61"/>
      <c r="VXI2" s="61"/>
      <c r="VXJ2" s="61"/>
      <c r="VXK2" s="61"/>
      <c r="VXL2" s="61"/>
      <c r="VXM2" s="61"/>
      <c r="VXN2" s="61"/>
      <c r="VXO2" s="61"/>
      <c r="VXP2" s="61"/>
      <c r="VXQ2" s="61"/>
      <c r="VXR2" s="61"/>
      <c r="VXS2" s="61"/>
      <c r="VXT2" s="61"/>
      <c r="VXU2" s="61"/>
      <c r="VXV2" s="61"/>
      <c r="VXW2" s="61"/>
      <c r="VXX2" s="61"/>
      <c r="VXY2" s="61"/>
      <c r="VXZ2" s="61"/>
      <c r="VYA2" s="61"/>
      <c r="VYB2" s="61"/>
      <c r="VYC2" s="61"/>
      <c r="VYD2" s="61"/>
      <c r="VYE2" s="61"/>
      <c r="VYF2" s="61"/>
      <c r="VYG2" s="61"/>
      <c r="VYH2" s="61"/>
      <c r="VYI2" s="61"/>
      <c r="VYJ2" s="61"/>
      <c r="VYK2" s="61"/>
      <c r="VYL2" s="61"/>
      <c r="VYM2" s="61"/>
      <c r="VYN2" s="61"/>
      <c r="VYO2" s="61"/>
      <c r="VYP2" s="61"/>
      <c r="VYQ2" s="61"/>
      <c r="VYR2" s="61"/>
      <c r="VYS2" s="61"/>
      <c r="VYT2" s="61"/>
      <c r="VYU2" s="61"/>
      <c r="VYV2" s="61"/>
      <c r="VYW2" s="61"/>
      <c r="VYX2" s="61"/>
      <c r="VYY2" s="61"/>
      <c r="VYZ2" s="61"/>
      <c r="VZA2" s="61"/>
      <c r="VZB2" s="61"/>
      <c r="VZC2" s="61"/>
      <c r="VZD2" s="61"/>
      <c r="VZE2" s="61"/>
      <c r="VZF2" s="61"/>
      <c r="VZG2" s="61"/>
      <c r="VZH2" s="61"/>
      <c r="VZI2" s="61"/>
      <c r="VZJ2" s="61"/>
      <c r="VZK2" s="61"/>
      <c r="VZL2" s="61"/>
      <c r="VZM2" s="61"/>
      <c r="VZN2" s="61"/>
      <c r="VZO2" s="61"/>
      <c r="VZP2" s="61"/>
      <c r="VZQ2" s="61"/>
      <c r="VZR2" s="61"/>
      <c r="VZS2" s="61"/>
      <c r="VZT2" s="61"/>
      <c r="VZU2" s="61"/>
      <c r="VZV2" s="61"/>
      <c r="VZW2" s="61"/>
      <c r="VZX2" s="61"/>
      <c r="VZY2" s="61"/>
      <c r="VZZ2" s="61"/>
      <c r="WAA2" s="61"/>
      <c r="WAB2" s="61"/>
      <c r="WAC2" s="61"/>
      <c r="WAD2" s="61"/>
      <c r="WAE2" s="61"/>
      <c r="WAF2" s="61"/>
      <c r="WAG2" s="61"/>
      <c r="WAH2" s="61"/>
      <c r="WAI2" s="61"/>
      <c r="WAJ2" s="61"/>
      <c r="WAK2" s="61"/>
      <c r="WAL2" s="61"/>
      <c r="WAM2" s="61"/>
      <c r="WAN2" s="61"/>
      <c r="WAO2" s="61"/>
      <c r="WAP2" s="61"/>
      <c r="WAQ2" s="61"/>
      <c r="WAR2" s="61"/>
      <c r="WAS2" s="61"/>
      <c r="WAT2" s="61"/>
      <c r="WAU2" s="61"/>
      <c r="WAV2" s="61"/>
      <c r="WAW2" s="61"/>
      <c r="WAX2" s="61"/>
      <c r="WAY2" s="61"/>
      <c r="WAZ2" s="61"/>
      <c r="WBA2" s="61"/>
      <c r="WBB2" s="61"/>
      <c r="WBC2" s="61"/>
      <c r="WBD2" s="61"/>
      <c r="WBE2" s="61"/>
      <c r="WBF2" s="61"/>
      <c r="WBG2" s="61"/>
      <c r="WBH2" s="61"/>
      <c r="WBI2" s="61"/>
      <c r="WBJ2" s="61"/>
      <c r="WBK2" s="61"/>
      <c r="WBL2" s="61"/>
      <c r="WBM2" s="61"/>
      <c r="WBN2" s="61"/>
      <c r="WBO2" s="61"/>
      <c r="WBP2" s="61"/>
      <c r="WBQ2" s="61"/>
      <c r="WBR2" s="61"/>
      <c r="WBS2" s="61"/>
      <c r="WBT2" s="61"/>
      <c r="WBU2" s="61"/>
      <c r="WBV2" s="61"/>
      <c r="WBW2" s="61"/>
      <c r="WBX2" s="61"/>
      <c r="WBY2" s="61"/>
      <c r="WBZ2" s="61"/>
      <c r="WCA2" s="61"/>
      <c r="WCB2" s="61"/>
      <c r="WCC2" s="61"/>
      <c r="WCD2" s="61"/>
      <c r="WCE2" s="61"/>
      <c r="WCF2" s="61"/>
      <c r="WCG2" s="61"/>
      <c r="WCH2" s="61"/>
      <c r="WCI2" s="61"/>
      <c r="WCJ2" s="61"/>
      <c r="WCK2" s="61"/>
      <c r="WCL2" s="61"/>
      <c r="WCM2" s="61"/>
      <c r="WCN2" s="61"/>
      <c r="WCO2" s="61"/>
      <c r="WCP2" s="61"/>
      <c r="WCQ2" s="61"/>
      <c r="WCR2" s="61"/>
      <c r="WCS2" s="61"/>
      <c r="WCT2" s="61"/>
      <c r="WCU2" s="61"/>
      <c r="WCV2" s="61"/>
      <c r="WCW2" s="61"/>
      <c r="WCX2" s="61"/>
      <c r="WCY2" s="61"/>
      <c r="WCZ2" s="61"/>
      <c r="WDA2" s="61"/>
      <c r="WDB2" s="61"/>
      <c r="WDC2" s="61"/>
      <c r="WDD2" s="61"/>
      <c r="WDE2" s="61"/>
      <c r="WDF2" s="61"/>
      <c r="WDG2" s="61"/>
      <c r="WDH2" s="61"/>
      <c r="WDI2" s="61"/>
      <c r="WDJ2" s="61"/>
      <c r="WDK2" s="61"/>
      <c r="WDL2" s="61"/>
      <c r="WDM2" s="61"/>
      <c r="WDN2" s="61"/>
      <c r="WDO2" s="61"/>
      <c r="WDP2" s="61"/>
      <c r="WDQ2" s="61"/>
      <c r="WDR2" s="61"/>
      <c r="WDS2" s="61"/>
      <c r="WDT2" s="61"/>
      <c r="WDU2" s="61"/>
      <c r="WDV2" s="61"/>
      <c r="WDW2" s="61"/>
      <c r="WDX2" s="61"/>
      <c r="WDY2" s="61"/>
      <c r="WDZ2" s="61"/>
      <c r="WEA2" s="61"/>
      <c r="WEB2" s="61"/>
      <c r="WEC2" s="61"/>
      <c r="WED2" s="61"/>
      <c r="WEE2" s="61"/>
      <c r="WEF2" s="61"/>
      <c r="WEG2" s="61"/>
      <c r="WEH2" s="61"/>
      <c r="WEI2" s="61"/>
      <c r="WEJ2" s="61"/>
      <c r="WEK2" s="61"/>
      <c r="WEL2" s="61"/>
      <c r="WEM2" s="61"/>
      <c r="WEN2" s="61"/>
      <c r="WEO2" s="61"/>
      <c r="WEP2" s="61"/>
      <c r="WEQ2" s="61"/>
      <c r="WER2" s="61"/>
      <c r="WES2" s="61"/>
      <c r="WET2" s="61"/>
      <c r="WEU2" s="61"/>
      <c r="WEV2" s="61"/>
      <c r="WEW2" s="61"/>
      <c r="WEX2" s="61"/>
      <c r="WEY2" s="61"/>
      <c r="WEZ2" s="61"/>
      <c r="WFA2" s="61"/>
      <c r="WFB2" s="61"/>
      <c r="WFC2" s="61"/>
      <c r="WFD2" s="61"/>
      <c r="WFE2" s="61"/>
      <c r="WFF2" s="61"/>
      <c r="WFG2" s="61"/>
      <c r="WFH2" s="61"/>
      <c r="WFI2" s="61"/>
      <c r="WFJ2" s="61"/>
      <c r="WFK2" s="61"/>
      <c r="WFL2" s="61"/>
      <c r="WFM2" s="61"/>
      <c r="WFN2" s="61"/>
      <c r="WFO2" s="61"/>
      <c r="WFP2" s="61"/>
      <c r="WFQ2" s="61"/>
      <c r="WFR2" s="61"/>
      <c r="WFS2" s="61"/>
      <c r="WFT2" s="61"/>
      <c r="WFU2" s="61"/>
      <c r="WFV2" s="61"/>
      <c r="WFW2" s="61"/>
      <c r="WFX2" s="61"/>
      <c r="WFY2" s="61"/>
      <c r="WFZ2" s="61"/>
      <c r="WGA2" s="61"/>
      <c r="WGB2" s="61"/>
      <c r="WGC2" s="61"/>
      <c r="WGD2" s="61"/>
      <c r="WGE2" s="61"/>
      <c r="WGF2" s="61"/>
      <c r="WGG2" s="61"/>
      <c r="WGH2" s="61"/>
      <c r="WGI2" s="61"/>
      <c r="WGJ2" s="61"/>
      <c r="WGK2" s="61"/>
      <c r="WGL2" s="61"/>
      <c r="WGM2" s="61"/>
      <c r="WGN2" s="61"/>
      <c r="WGO2" s="61"/>
      <c r="WGP2" s="61"/>
      <c r="WGQ2" s="61"/>
      <c r="WGR2" s="61"/>
      <c r="WGS2" s="61"/>
      <c r="WGT2" s="61"/>
      <c r="WGU2" s="61"/>
      <c r="WGV2" s="61"/>
      <c r="WGW2" s="61"/>
      <c r="WGX2" s="61"/>
      <c r="WGY2" s="61"/>
      <c r="WGZ2" s="61"/>
      <c r="WHA2" s="61"/>
      <c r="WHB2" s="61"/>
      <c r="WHC2" s="61"/>
      <c r="WHD2" s="61"/>
      <c r="WHE2" s="61"/>
      <c r="WHF2" s="61"/>
      <c r="WHG2" s="61"/>
      <c r="WHH2" s="61"/>
      <c r="WHI2" s="61"/>
      <c r="WHJ2" s="61"/>
      <c r="WHK2" s="61"/>
      <c r="WHL2" s="61"/>
      <c r="WHM2" s="61"/>
      <c r="WHN2" s="61"/>
      <c r="WHO2" s="61"/>
      <c r="WHP2" s="61"/>
      <c r="WHQ2" s="61"/>
      <c r="WHR2" s="61"/>
      <c r="WHS2" s="61"/>
      <c r="WHT2" s="61"/>
      <c r="WHU2" s="61"/>
      <c r="WHV2" s="61"/>
      <c r="WHW2" s="61"/>
      <c r="WHX2" s="61"/>
      <c r="WHY2" s="61"/>
      <c r="WHZ2" s="61"/>
      <c r="WIA2" s="61"/>
      <c r="WIB2" s="61"/>
      <c r="WIC2" s="61"/>
      <c r="WID2" s="61"/>
      <c r="WIE2" s="61"/>
      <c r="WIF2" s="61"/>
      <c r="WIG2" s="61"/>
      <c r="WIH2" s="61"/>
      <c r="WII2" s="61"/>
      <c r="WIJ2" s="61"/>
      <c r="WIK2" s="61"/>
      <c r="WIL2" s="61"/>
      <c r="WIM2" s="61"/>
      <c r="WIN2" s="61"/>
      <c r="WIO2" s="61"/>
      <c r="WIP2" s="61"/>
      <c r="WIQ2" s="61"/>
      <c r="WIR2" s="61"/>
      <c r="WIS2" s="61"/>
      <c r="WIT2" s="61"/>
      <c r="WIU2" s="61"/>
      <c r="WIV2" s="61"/>
      <c r="WIW2" s="61"/>
      <c r="WIX2" s="61"/>
      <c r="WIY2" s="61"/>
      <c r="WIZ2" s="61"/>
      <c r="WJA2" s="61"/>
      <c r="WJB2" s="61"/>
      <c r="WJC2" s="61"/>
      <c r="WJD2" s="61"/>
      <c r="WJE2" s="61"/>
      <c r="WJF2" s="61"/>
      <c r="WJG2" s="61"/>
      <c r="WJH2" s="61"/>
      <c r="WJI2" s="61"/>
      <c r="WJJ2" s="61"/>
      <c r="WJK2" s="61"/>
      <c r="WJL2" s="61"/>
      <c r="WJM2" s="61"/>
      <c r="WJN2" s="61"/>
      <c r="WJO2" s="61"/>
      <c r="WJP2" s="61"/>
      <c r="WJQ2" s="61"/>
      <c r="WJR2" s="61"/>
      <c r="WJS2" s="61"/>
      <c r="WJT2" s="61"/>
      <c r="WJU2" s="61"/>
      <c r="WJV2" s="61"/>
      <c r="WJW2" s="61"/>
      <c r="WJX2" s="61"/>
      <c r="WJY2" s="61"/>
      <c r="WJZ2" s="61"/>
      <c r="WKA2" s="61"/>
      <c r="WKB2" s="61"/>
      <c r="WKC2" s="61"/>
      <c r="WKD2" s="61"/>
      <c r="WKE2" s="61"/>
      <c r="WKF2" s="61"/>
      <c r="WKG2" s="61"/>
      <c r="WKH2" s="61"/>
      <c r="WKI2" s="61"/>
      <c r="WKJ2" s="61"/>
      <c r="WKK2" s="61"/>
      <c r="WKL2" s="61"/>
      <c r="WKM2" s="61"/>
      <c r="WKN2" s="61"/>
      <c r="WKO2" s="61"/>
      <c r="WKP2" s="61"/>
      <c r="WKQ2" s="61"/>
      <c r="WKR2" s="61"/>
      <c r="WKS2" s="61"/>
      <c r="WKT2" s="61"/>
      <c r="WKU2" s="61"/>
      <c r="WKV2" s="61"/>
      <c r="WKW2" s="61"/>
      <c r="WKX2" s="61"/>
      <c r="WKY2" s="61"/>
      <c r="WKZ2" s="61"/>
      <c r="WLA2" s="61"/>
      <c r="WLB2" s="61"/>
      <c r="WLC2" s="61"/>
      <c r="WLD2" s="61"/>
      <c r="WLE2" s="61"/>
      <c r="WLF2" s="61"/>
      <c r="WLG2" s="61"/>
      <c r="WLH2" s="61"/>
      <c r="WLI2" s="61"/>
      <c r="WLJ2" s="61"/>
      <c r="WLK2" s="61"/>
      <c r="WLL2" s="61"/>
      <c r="WLM2" s="61"/>
      <c r="WLN2" s="61"/>
      <c r="WLO2" s="61"/>
      <c r="WLP2" s="61"/>
      <c r="WLQ2" s="61"/>
      <c r="WLR2" s="61"/>
      <c r="WLS2" s="61"/>
      <c r="WLT2" s="61"/>
      <c r="WLU2" s="61"/>
      <c r="WLV2" s="61"/>
      <c r="WLW2" s="61"/>
      <c r="WLX2" s="61"/>
      <c r="WLY2" s="61"/>
      <c r="WLZ2" s="61"/>
      <c r="WMA2" s="61"/>
      <c r="WMB2" s="61"/>
      <c r="WMC2" s="61"/>
      <c r="WMD2" s="61"/>
      <c r="WME2" s="61"/>
      <c r="WMF2" s="61"/>
      <c r="WMG2" s="61"/>
      <c r="WMH2" s="61"/>
      <c r="WMI2" s="61"/>
      <c r="WMJ2" s="61"/>
      <c r="WMK2" s="61"/>
      <c r="WML2" s="61"/>
      <c r="WMM2" s="61"/>
      <c r="WMN2" s="61"/>
      <c r="WMO2" s="61"/>
      <c r="WMP2" s="61"/>
      <c r="WMQ2" s="61"/>
      <c r="WMR2" s="61"/>
      <c r="WMS2" s="61"/>
      <c r="WMT2" s="61"/>
      <c r="WMU2" s="61"/>
      <c r="WMV2" s="61"/>
      <c r="WMW2" s="61"/>
      <c r="WMX2" s="61"/>
      <c r="WMY2" s="61"/>
      <c r="WMZ2" s="61"/>
      <c r="WNA2" s="61"/>
      <c r="WNB2" s="61"/>
      <c r="WNC2" s="61"/>
      <c r="WND2" s="61"/>
      <c r="WNE2" s="61"/>
      <c r="WNF2" s="61"/>
      <c r="WNG2" s="61"/>
      <c r="WNH2" s="61"/>
      <c r="WNI2" s="61"/>
      <c r="WNJ2" s="61"/>
      <c r="WNK2" s="61"/>
      <c r="WNL2" s="61"/>
      <c r="WNM2" s="61"/>
      <c r="WNN2" s="61"/>
      <c r="WNO2" s="61"/>
      <c r="WNP2" s="61"/>
      <c r="WNQ2" s="61"/>
      <c r="WNR2" s="61"/>
      <c r="WNS2" s="61"/>
      <c r="WNT2" s="61"/>
      <c r="WNU2" s="61"/>
      <c r="WNV2" s="61"/>
      <c r="WNW2" s="61"/>
      <c r="WNX2" s="61"/>
      <c r="WNY2" s="61"/>
      <c r="WNZ2" s="61"/>
      <c r="WOA2" s="61"/>
      <c r="WOB2" s="61"/>
      <c r="WOC2" s="61"/>
      <c r="WOD2" s="61"/>
      <c r="WOE2" s="61"/>
      <c r="WOF2" s="61"/>
      <c r="WOG2" s="61"/>
      <c r="WOH2" s="61"/>
      <c r="WOI2" s="61"/>
      <c r="WOJ2" s="61"/>
      <c r="WOK2" s="61"/>
      <c r="WOL2" s="61"/>
      <c r="WOM2" s="61"/>
      <c r="WON2" s="61"/>
      <c r="WOO2" s="61"/>
      <c r="WOP2" s="61"/>
      <c r="WOQ2" s="61"/>
      <c r="WOR2" s="61"/>
      <c r="WOS2" s="61"/>
      <c r="WOT2" s="61"/>
      <c r="WOU2" s="61"/>
      <c r="WOV2" s="61"/>
      <c r="WOW2" s="61"/>
      <c r="WOX2" s="61"/>
      <c r="WOY2" s="61"/>
      <c r="WOZ2" s="61"/>
      <c r="WPA2" s="61"/>
      <c r="WPB2" s="61"/>
      <c r="WPC2" s="61"/>
      <c r="WPD2" s="61"/>
      <c r="WPE2" s="61"/>
      <c r="WPF2" s="61"/>
      <c r="WPG2" s="61"/>
      <c r="WPH2" s="61"/>
      <c r="WPI2" s="61"/>
      <c r="WPJ2" s="61"/>
      <c r="WPK2" s="61"/>
      <c r="WPL2" s="61"/>
      <c r="WPM2" s="61"/>
      <c r="WPN2" s="61"/>
      <c r="WPO2" s="61"/>
      <c r="WPP2" s="61"/>
      <c r="WPQ2" s="61"/>
      <c r="WPR2" s="61"/>
      <c r="WPS2" s="61"/>
      <c r="WPT2" s="61"/>
      <c r="WPU2" s="61"/>
      <c r="WPV2" s="61"/>
      <c r="WPW2" s="61"/>
      <c r="WPX2" s="61"/>
      <c r="WPY2" s="61"/>
      <c r="WPZ2" s="61"/>
      <c r="WQA2" s="61"/>
      <c r="WQB2" s="61"/>
      <c r="WQC2" s="61"/>
      <c r="WQD2" s="61"/>
      <c r="WQE2" s="61"/>
      <c r="WQF2" s="61"/>
      <c r="WQG2" s="61"/>
      <c r="WQH2" s="61"/>
      <c r="WQI2" s="61"/>
      <c r="WQJ2" s="61"/>
      <c r="WQK2" s="61"/>
      <c r="WQL2" s="61"/>
      <c r="WQM2" s="61"/>
      <c r="WQN2" s="61"/>
      <c r="WQO2" s="61"/>
      <c r="WQP2" s="61"/>
      <c r="WQQ2" s="61"/>
      <c r="WQR2" s="61"/>
      <c r="WQS2" s="61"/>
      <c r="WQT2" s="61"/>
      <c r="WQU2" s="61"/>
      <c r="WQV2" s="61"/>
      <c r="WQW2" s="61"/>
      <c r="WQX2" s="61"/>
      <c r="WQY2" s="61"/>
      <c r="WQZ2" s="61"/>
      <c r="WRA2" s="61"/>
      <c r="WRB2" s="61"/>
      <c r="WRC2" s="61"/>
      <c r="WRD2" s="61"/>
      <c r="WRE2" s="61"/>
      <c r="WRF2" s="61"/>
      <c r="WRG2" s="61"/>
      <c r="WRH2" s="61"/>
      <c r="WRI2" s="61"/>
      <c r="WRJ2" s="61"/>
      <c r="WRK2" s="61"/>
      <c r="WRL2" s="61"/>
      <c r="WRM2" s="61"/>
      <c r="WRN2" s="61"/>
      <c r="WRO2" s="61"/>
      <c r="WRP2" s="61"/>
      <c r="WRQ2" s="61"/>
      <c r="WRR2" s="61"/>
      <c r="WRS2" s="61"/>
      <c r="WRT2" s="61"/>
      <c r="WRU2" s="61"/>
      <c r="WRV2" s="61"/>
      <c r="WRW2" s="61"/>
      <c r="WRX2" s="61"/>
      <c r="WRY2" s="61"/>
      <c r="WRZ2" s="61"/>
      <c r="WSA2" s="61"/>
      <c r="WSB2" s="61"/>
      <c r="WSC2" s="61"/>
      <c r="WSD2" s="61"/>
      <c r="WSE2" s="61"/>
      <c r="WSF2" s="61"/>
      <c r="WSG2" s="61"/>
      <c r="WSH2" s="61"/>
      <c r="WSI2" s="61"/>
      <c r="WSJ2" s="61"/>
      <c r="WSK2" s="61"/>
      <c r="WSL2" s="61"/>
      <c r="WSM2" s="61"/>
      <c r="WSN2" s="61"/>
      <c r="WSO2" s="61"/>
      <c r="WSP2" s="61"/>
      <c r="WSQ2" s="61"/>
      <c r="WSR2" s="61"/>
      <c r="WSS2" s="61"/>
      <c r="WST2" s="61"/>
      <c r="WSU2" s="61"/>
      <c r="WSV2" s="61"/>
      <c r="WSW2" s="61"/>
      <c r="WSX2" s="61"/>
      <c r="WSY2" s="61"/>
      <c r="WSZ2" s="61"/>
      <c r="WTA2" s="61"/>
      <c r="WTB2" s="61"/>
      <c r="WTC2" s="61"/>
      <c r="WTD2" s="61"/>
      <c r="WTE2" s="61"/>
      <c r="WTF2" s="61"/>
      <c r="WTG2" s="61"/>
      <c r="WTH2" s="61"/>
      <c r="WTI2" s="61"/>
      <c r="WTJ2" s="61"/>
      <c r="WTK2" s="61"/>
      <c r="WTL2" s="61"/>
      <c r="WTM2" s="61"/>
      <c r="WTN2" s="61"/>
      <c r="WTO2" s="61"/>
      <c r="WTP2" s="61"/>
      <c r="WTQ2" s="61"/>
      <c r="WTR2" s="61"/>
      <c r="WTS2" s="61"/>
      <c r="WTT2" s="61"/>
      <c r="WTU2" s="61"/>
      <c r="WTV2" s="61"/>
      <c r="WTW2" s="61"/>
      <c r="WTX2" s="61"/>
      <c r="WTY2" s="61"/>
      <c r="WTZ2" s="61"/>
      <c r="WUA2" s="61"/>
      <c r="WUB2" s="61"/>
      <c r="WUC2" s="61"/>
      <c r="WUD2" s="61"/>
      <c r="WUE2" s="61"/>
      <c r="WUF2" s="61"/>
      <c r="WUG2" s="61"/>
      <c r="WUH2" s="61"/>
      <c r="WUI2" s="61"/>
      <c r="WUJ2" s="61"/>
      <c r="WUK2" s="61"/>
      <c r="WUL2" s="61"/>
      <c r="WUM2" s="61"/>
      <c r="WUN2" s="61"/>
      <c r="WUO2" s="61"/>
      <c r="WUP2" s="61"/>
      <c r="WUQ2" s="61"/>
      <c r="WUR2" s="61"/>
      <c r="WUS2" s="61"/>
      <c r="WUT2" s="61"/>
      <c r="WUU2" s="61"/>
      <c r="WUV2" s="61"/>
      <c r="WUW2" s="61"/>
      <c r="WUX2" s="61"/>
      <c r="WUY2" s="61"/>
      <c r="WUZ2" s="61"/>
      <c r="WVA2" s="61"/>
      <c r="WVB2" s="61"/>
      <c r="WVC2" s="61"/>
      <c r="WVD2" s="61"/>
      <c r="WVE2" s="61"/>
      <c r="WVF2" s="61"/>
      <c r="WVG2" s="61"/>
      <c r="WVH2" s="61"/>
      <c r="WVI2" s="61"/>
      <c r="WVJ2" s="61"/>
      <c r="WVK2" s="61"/>
      <c r="WVL2" s="61"/>
      <c r="WVM2" s="61"/>
      <c r="WVN2" s="61"/>
      <c r="WVO2" s="61"/>
      <c r="WVP2" s="61"/>
      <c r="WVQ2" s="61"/>
      <c r="WVR2" s="61"/>
      <c r="WVS2" s="61"/>
      <c r="WVT2" s="61"/>
      <c r="WVU2" s="61"/>
      <c r="WVV2" s="61"/>
      <c r="WVW2" s="61"/>
      <c r="WVX2" s="61"/>
      <c r="WVY2" s="61"/>
      <c r="WVZ2" s="61"/>
      <c r="WWA2" s="61"/>
      <c r="WWB2" s="61"/>
      <c r="WWC2" s="61"/>
      <c r="WWD2" s="61"/>
      <c r="WWE2" s="61"/>
      <c r="WWF2" s="61"/>
      <c r="WWG2" s="61"/>
      <c r="WWH2" s="61"/>
      <c r="WWI2" s="61"/>
      <c r="WWJ2" s="61"/>
      <c r="WWK2" s="61"/>
      <c r="WWL2" s="61"/>
      <c r="WWM2" s="61"/>
      <c r="WWN2" s="61"/>
      <c r="WWO2" s="61"/>
      <c r="WWP2" s="61"/>
      <c r="WWQ2" s="61"/>
      <c r="WWR2" s="61"/>
      <c r="WWS2" s="61"/>
      <c r="WWT2" s="61"/>
      <c r="WWU2" s="61"/>
      <c r="WWV2" s="61"/>
      <c r="WWW2" s="61"/>
      <c r="WWX2" s="61"/>
      <c r="WWY2" s="61"/>
      <c r="WWZ2" s="61"/>
      <c r="WXA2" s="61"/>
      <c r="WXB2" s="61"/>
      <c r="WXC2" s="61"/>
      <c r="WXD2" s="61"/>
      <c r="WXE2" s="61"/>
      <c r="WXF2" s="61"/>
      <c r="WXG2" s="61"/>
      <c r="WXH2" s="61"/>
      <c r="WXI2" s="61"/>
      <c r="WXJ2" s="61"/>
      <c r="WXK2" s="61"/>
      <c r="WXL2" s="61"/>
      <c r="WXM2" s="61"/>
      <c r="WXN2" s="61"/>
      <c r="WXO2" s="61"/>
      <c r="WXP2" s="61"/>
      <c r="WXQ2" s="61"/>
      <c r="WXR2" s="61"/>
      <c r="WXS2" s="61"/>
      <c r="WXT2" s="61"/>
      <c r="WXU2" s="61"/>
      <c r="WXV2" s="61"/>
      <c r="WXW2" s="61"/>
      <c r="WXX2" s="61"/>
      <c r="WXY2" s="61"/>
      <c r="WXZ2" s="61"/>
      <c r="WYA2" s="61"/>
      <c r="WYB2" s="61"/>
      <c r="WYC2" s="61"/>
      <c r="WYD2" s="61"/>
      <c r="WYE2" s="61"/>
      <c r="WYF2" s="61"/>
      <c r="WYG2" s="61"/>
      <c r="WYH2" s="61"/>
      <c r="WYI2" s="61"/>
      <c r="WYJ2" s="61"/>
      <c r="WYK2" s="61"/>
      <c r="WYL2" s="61"/>
      <c r="WYM2" s="61"/>
      <c r="WYN2" s="61"/>
      <c r="WYO2" s="61"/>
      <c r="WYP2" s="61"/>
      <c r="WYQ2" s="61"/>
      <c r="WYR2" s="61"/>
      <c r="WYS2" s="61"/>
      <c r="WYT2" s="61"/>
      <c r="WYU2" s="61"/>
      <c r="WYV2" s="61"/>
      <c r="WYW2" s="61"/>
      <c r="WYX2" s="61"/>
      <c r="WYY2" s="61"/>
      <c r="WYZ2" s="61"/>
      <c r="WZA2" s="61"/>
      <c r="WZB2" s="61"/>
      <c r="WZC2" s="61"/>
      <c r="WZD2" s="61"/>
      <c r="WZE2" s="61"/>
      <c r="WZF2" s="61"/>
      <c r="WZG2" s="61"/>
      <c r="WZH2" s="61"/>
      <c r="WZI2" s="61"/>
      <c r="WZJ2" s="61"/>
      <c r="WZK2" s="61"/>
      <c r="WZL2" s="61"/>
      <c r="WZM2" s="61"/>
      <c r="WZN2" s="61"/>
      <c r="WZO2" s="61"/>
      <c r="WZP2" s="61"/>
      <c r="WZQ2" s="61"/>
      <c r="WZR2" s="61"/>
      <c r="WZS2" s="61"/>
      <c r="WZT2" s="61"/>
      <c r="WZU2" s="61"/>
      <c r="WZV2" s="61"/>
      <c r="WZW2" s="61"/>
      <c r="WZX2" s="61"/>
      <c r="WZY2" s="61"/>
      <c r="WZZ2" s="61"/>
      <c r="XAA2" s="61"/>
      <c r="XAB2" s="61"/>
      <c r="XAC2" s="61"/>
      <c r="XAD2" s="61"/>
      <c r="XAE2" s="61"/>
      <c r="XAF2" s="61"/>
      <c r="XAG2" s="61"/>
      <c r="XAH2" s="61"/>
      <c r="XAI2" s="61"/>
      <c r="XAJ2" s="61"/>
      <c r="XAK2" s="61"/>
      <c r="XAL2" s="61"/>
      <c r="XAM2" s="61"/>
      <c r="XAN2" s="61"/>
      <c r="XAO2" s="61"/>
      <c r="XAP2" s="61"/>
      <c r="XAQ2" s="61"/>
      <c r="XAR2" s="61"/>
      <c r="XAS2" s="61"/>
      <c r="XAT2" s="61"/>
      <c r="XAU2" s="61"/>
      <c r="XAV2" s="61"/>
      <c r="XAW2" s="61"/>
      <c r="XAX2" s="61"/>
      <c r="XAY2" s="61"/>
      <c r="XAZ2" s="61"/>
      <c r="XBA2" s="61"/>
      <c r="XBB2" s="61"/>
      <c r="XBC2" s="61"/>
      <c r="XBD2" s="61"/>
      <c r="XBE2" s="61"/>
      <c r="XBF2" s="61"/>
      <c r="XBG2" s="61"/>
      <c r="XBH2" s="61"/>
      <c r="XBI2" s="61"/>
      <c r="XBJ2" s="61"/>
      <c r="XBK2" s="61"/>
      <c r="XBL2" s="61"/>
      <c r="XBM2" s="61"/>
      <c r="XBN2" s="61"/>
      <c r="XBO2" s="61"/>
      <c r="XBP2" s="61"/>
      <c r="XBQ2" s="61"/>
      <c r="XBR2" s="61"/>
      <c r="XBS2" s="61"/>
      <c r="XBT2" s="61"/>
      <c r="XBU2" s="61"/>
      <c r="XBV2" s="61"/>
      <c r="XBW2" s="61"/>
      <c r="XBX2" s="61"/>
      <c r="XBY2" s="61"/>
      <c r="XBZ2" s="61"/>
      <c r="XCA2" s="61"/>
      <c r="XCB2" s="61"/>
      <c r="XCC2" s="61"/>
      <c r="XCD2" s="61"/>
      <c r="XCE2" s="61"/>
      <c r="XCF2" s="61"/>
      <c r="XCG2" s="61"/>
      <c r="XCH2" s="61"/>
      <c r="XCI2" s="61"/>
      <c r="XCJ2" s="61"/>
      <c r="XCK2" s="61"/>
      <c r="XCL2" s="61"/>
      <c r="XCM2" s="61"/>
      <c r="XCN2" s="61"/>
      <c r="XCO2" s="61"/>
      <c r="XCP2" s="61"/>
      <c r="XCQ2" s="61"/>
      <c r="XCR2" s="61"/>
      <c r="XCS2" s="61"/>
      <c r="XCT2" s="61"/>
      <c r="XCU2" s="61"/>
      <c r="XCV2" s="61"/>
      <c r="XCW2" s="61"/>
      <c r="XCX2" s="61"/>
      <c r="XCY2" s="61"/>
      <c r="XCZ2" s="61"/>
      <c r="XDA2" s="61"/>
      <c r="XDB2" s="61"/>
      <c r="XDC2" s="61"/>
      <c r="XDD2" s="61"/>
      <c r="XDE2" s="61"/>
      <c r="XDF2" s="61"/>
      <c r="XDG2" s="61"/>
      <c r="XDH2" s="61"/>
      <c r="XDI2" s="61"/>
      <c r="XDJ2" s="61"/>
      <c r="XDK2" s="61"/>
      <c r="XDL2" s="61"/>
      <c r="XDM2" s="61"/>
      <c r="XDN2" s="61"/>
      <c r="XDO2" s="61"/>
      <c r="XDP2" s="61"/>
      <c r="XDQ2" s="61"/>
      <c r="XDR2" s="61"/>
      <c r="XDS2" s="61"/>
      <c r="XDT2" s="61"/>
      <c r="XDU2" s="61"/>
      <c r="XDV2" s="61"/>
      <c r="XDW2" s="61"/>
      <c r="XDX2" s="61"/>
      <c r="XDY2" s="61"/>
      <c r="XDZ2" s="61"/>
      <c r="XEA2" s="61"/>
      <c r="XEB2" s="61"/>
      <c r="XEC2" s="61"/>
      <c r="XED2" s="61"/>
      <c r="XEE2" s="61"/>
      <c r="XEF2" s="61"/>
      <c r="XEG2" s="61"/>
      <c r="XEH2" s="61"/>
      <c r="XEI2" s="61"/>
      <c r="XEJ2" s="61"/>
      <c r="XEK2" s="61"/>
      <c r="XEL2" s="61"/>
      <c r="XEM2" s="61"/>
      <c r="XEN2" s="61"/>
      <c r="XEO2" s="61"/>
      <c r="XEP2" s="61"/>
      <c r="XEQ2" s="61"/>
      <c r="XER2" s="61"/>
      <c r="XES2" s="61"/>
      <c r="XET2" s="61"/>
      <c r="XEU2" s="61"/>
      <c r="XEV2" s="61"/>
      <c r="XEW2" s="61"/>
      <c r="XEX2" s="61"/>
      <c r="XEY2" s="61"/>
      <c r="XEZ2" s="61"/>
      <c r="XFA2" s="61"/>
      <c r="XFB2" s="61"/>
      <c r="XFC2" s="61"/>
      <c r="XFD2" s="61"/>
    </row>
    <row r="3" s="52" customFormat="1" ht="13.5" spans="1:85">
      <c r="A3" s="61" t="s">
        <v>51</v>
      </c>
      <c r="B3" s="61" t="s">
        <v>446</v>
      </c>
      <c r="C3" s="61">
        <v>13950</v>
      </c>
      <c r="D3" s="61"/>
      <c r="E3" s="61" t="s">
        <v>447</v>
      </c>
      <c r="F3" s="61" t="b">
        <f>IF(COUNTIF(按提示输入属性!D18,E3)&gt;0,TRUE,FALSE)</f>
        <v>0</v>
      </c>
      <c r="G3" s="61"/>
      <c r="H3" s="61"/>
      <c r="I3" s="61"/>
      <c r="J3" s="61"/>
      <c r="K3" s="61">
        <v>584</v>
      </c>
      <c r="L3" s="61">
        <f>INT(K3*F342)+1</f>
        <v>628</v>
      </c>
      <c r="M3" s="61">
        <v>1138</v>
      </c>
      <c r="N3" s="61">
        <f>INT(M3*F342)</f>
        <v>1223</v>
      </c>
      <c r="O3" s="61">
        <v>0</v>
      </c>
      <c r="P3" s="61">
        <f>INT(O3*F342)</f>
        <v>0</v>
      </c>
      <c r="Q3" s="61">
        <v>0</v>
      </c>
      <c r="R3" s="61">
        <f>INT(Q3*F342)</f>
        <v>0</v>
      </c>
      <c r="S3" s="61">
        <v>0</v>
      </c>
      <c r="T3" s="61">
        <f>INT(S3*F342)</f>
        <v>0</v>
      </c>
      <c r="U3" s="61">
        <v>2607</v>
      </c>
      <c r="V3" s="61">
        <f>INT(U3*F342)</f>
        <v>2803</v>
      </c>
      <c r="W3" s="61">
        <v>0</v>
      </c>
      <c r="X3" s="61">
        <f>INT(W3*F342)</f>
        <v>0</v>
      </c>
      <c r="Y3" s="61">
        <v>2933</v>
      </c>
      <c r="Z3" s="61">
        <v>0</v>
      </c>
      <c r="AA3" s="61">
        <v>0</v>
      </c>
      <c r="AB3" s="61">
        <v>1</v>
      </c>
      <c r="AC3" s="61">
        <v>0</v>
      </c>
      <c r="AD3" s="61">
        <v>0</v>
      </c>
      <c r="AE3" s="61">
        <v>0</v>
      </c>
      <c r="AF3" s="61">
        <v>0</v>
      </c>
      <c r="AG3" s="61">
        <v>0</v>
      </c>
      <c r="AH3" s="61">
        <v>0</v>
      </c>
      <c r="AI3" s="61">
        <v>0</v>
      </c>
      <c r="AJ3" s="61"/>
      <c r="AK3" s="61"/>
      <c r="AL3" s="61"/>
      <c r="AM3" s="61"/>
      <c r="AN3" s="61"/>
      <c r="AO3" s="61"/>
      <c r="AP3" s="61" t="s">
        <v>448</v>
      </c>
      <c r="AQ3" s="61">
        <v>6</v>
      </c>
      <c r="AR3" s="61" t="s">
        <v>449</v>
      </c>
      <c r="AS3" s="61">
        <v>1</v>
      </c>
      <c r="AT3" s="61" t="s">
        <v>450</v>
      </c>
      <c r="AU3" s="61" t="s">
        <v>450</v>
      </c>
      <c r="AV3" s="61" t="s">
        <v>450</v>
      </c>
      <c r="AW3" s="61">
        <v>3014</v>
      </c>
      <c r="AX3" s="61">
        <v>0</v>
      </c>
      <c r="AY3" s="61">
        <v>0</v>
      </c>
      <c r="AZ3" s="61">
        <v>0</v>
      </c>
      <c r="BA3" s="61" t="s">
        <v>451</v>
      </c>
      <c r="BB3" s="61" t="s">
        <v>452</v>
      </c>
      <c r="BC3" s="61" t="s">
        <v>453</v>
      </c>
      <c r="BD3" s="61" t="s">
        <v>454</v>
      </c>
      <c r="BE3" s="61" t="s">
        <v>455</v>
      </c>
      <c r="BF3" s="61" t="s">
        <v>456</v>
      </c>
      <c r="BG3" s="61" t="s">
        <v>456</v>
      </c>
      <c r="BH3" s="61" t="s">
        <v>456</v>
      </c>
      <c r="BI3" s="61" t="s">
        <v>456</v>
      </c>
      <c r="BJ3" s="61" t="s">
        <v>456</v>
      </c>
      <c r="BK3" s="61" t="s">
        <v>456</v>
      </c>
      <c r="BL3" s="61" t="s">
        <v>456</v>
      </c>
      <c r="BM3" s="61">
        <v>2548</v>
      </c>
      <c r="BN3" s="61">
        <v>494</v>
      </c>
      <c r="BO3" s="61">
        <v>962</v>
      </c>
      <c r="BP3" s="61">
        <v>2479</v>
      </c>
      <c r="BQ3" s="61">
        <v>2203</v>
      </c>
      <c r="BR3" s="61">
        <v>0</v>
      </c>
      <c r="BS3" s="61">
        <v>0</v>
      </c>
      <c r="BT3" s="61">
        <v>0</v>
      </c>
      <c r="BU3" s="61">
        <v>0</v>
      </c>
      <c r="BV3" s="61">
        <v>0</v>
      </c>
      <c r="BW3" s="61">
        <v>0</v>
      </c>
      <c r="BX3" s="61">
        <v>0</v>
      </c>
      <c r="BY3" s="61" t="s">
        <v>453</v>
      </c>
      <c r="BZ3" s="61" t="s">
        <v>453</v>
      </c>
      <c r="CA3" s="61" t="s">
        <v>456</v>
      </c>
      <c r="CB3" s="61" t="s">
        <v>457</v>
      </c>
      <c r="CC3" s="61">
        <v>1</v>
      </c>
      <c r="CD3" s="61">
        <v>1</v>
      </c>
      <c r="CE3" s="61">
        <v>0</v>
      </c>
      <c r="CF3" s="61"/>
      <c r="CG3" s="61" t="s">
        <v>458</v>
      </c>
    </row>
    <row r="4" s="52" customFormat="1" ht="13.5" spans="1:85">
      <c r="A4" s="61" t="s">
        <v>51</v>
      </c>
      <c r="B4" s="61" t="s">
        <v>459</v>
      </c>
      <c r="C4" s="61">
        <v>13950</v>
      </c>
      <c r="D4" s="61"/>
      <c r="E4" s="61" t="s">
        <v>250</v>
      </c>
      <c r="F4" s="61" t="b">
        <f>IF(COUNTIF(按提示输入属性!D18,E4)&gt;0,TRUE,FALSE)</f>
        <v>0</v>
      </c>
      <c r="G4" s="61"/>
      <c r="H4" s="61"/>
      <c r="I4" s="61"/>
      <c r="J4" s="61"/>
      <c r="K4" s="61">
        <v>584</v>
      </c>
      <c r="L4" s="61">
        <f>INT(K4*F342)+1</f>
        <v>628</v>
      </c>
      <c r="M4" s="61">
        <v>1138</v>
      </c>
      <c r="N4" s="61">
        <f>INT(M4*F342)</f>
        <v>1223</v>
      </c>
      <c r="O4" s="61">
        <v>2933</v>
      </c>
      <c r="P4" s="61">
        <f>INT(O4*F342)</f>
        <v>3153</v>
      </c>
      <c r="Q4" s="61">
        <v>0</v>
      </c>
      <c r="R4" s="61">
        <f>INT(Q4*F342)</f>
        <v>0</v>
      </c>
      <c r="S4" s="61">
        <v>0</v>
      </c>
      <c r="T4" s="61">
        <f>INT(S4*F342)</f>
        <v>0</v>
      </c>
      <c r="U4" s="61">
        <v>0</v>
      </c>
      <c r="V4" s="61">
        <f>INT(U4*F342)</f>
        <v>0</v>
      </c>
      <c r="W4" s="61">
        <v>2607</v>
      </c>
      <c r="X4" s="61">
        <f>INT(W4*F342)</f>
        <v>2803</v>
      </c>
      <c r="Y4" s="61">
        <v>0</v>
      </c>
      <c r="Z4" s="61">
        <v>0</v>
      </c>
      <c r="AA4" s="61">
        <v>0</v>
      </c>
      <c r="AB4" s="61">
        <v>0</v>
      </c>
      <c r="AC4" s="61">
        <v>0</v>
      </c>
      <c r="AD4" s="61">
        <v>1</v>
      </c>
      <c r="AE4" s="61">
        <v>0</v>
      </c>
      <c r="AF4" s="61">
        <v>0</v>
      </c>
      <c r="AG4" s="61">
        <v>0</v>
      </c>
      <c r="AH4" s="61">
        <v>0</v>
      </c>
      <c r="AI4" s="61">
        <v>0</v>
      </c>
      <c r="AJ4" s="61"/>
      <c r="AK4" s="61"/>
      <c r="AL4" s="61"/>
      <c r="AM4" s="61"/>
      <c r="AN4" s="61"/>
      <c r="AO4" s="61"/>
      <c r="AP4" s="61" t="s">
        <v>460</v>
      </c>
      <c r="AQ4" s="61">
        <v>6</v>
      </c>
      <c r="AR4" s="61" t="s">
        <v>449</v>
      </c>
      <c r="AS4" s="61">
        <v>1</v>
      </c>
      <c r="AT4" s="61" t="s">
        <v>450</v>
      </c>
      <c r="AU4" s="61" t="s">
        <v>450</v>
      </c>
      <c r="AV4" s="61" t="s">
        <v>450</v>
      </c>
      <c r="AW4" s="61">
        <v>3014</v>
      </c>
      <c r="AX4" s="61">
        <v>0</v>
      </c>
      <c r="AY4" s="61">
        <v>0</v>
      </c>
      <c r="AZ4" s="61">
        <v>0</v>
      </c>
      <c r="BA4" s="61" t="s">
        <v>451</v>
      </c>
      <c r="BB4" s="61" t="s">
        <v>452</v>
      </c>
      <c r="BC4" s="61" t="s">
        <v>453</v>
      </c>
      <c r="BD4" s="61" t="s">
        <v>461</v>
      </c>
      <c r="BE4" s="61" t="s">
        <v>462</v>
      </c>
      <c r="BF4" s="61" t="s">
        <v>456</v>
      </c>
      <c r="BG4" s="61" t="s">
        <v>456</v>
      </c>
      <c r="BH4" s="61" t="s">
        <v>456</v>
      </c>
      <c r="BI4" s="61" t="s">
        <v>456</v>
      </c>
      <c r="BJ4" s="61" t="s">
        <v>456</v>
      </c>
      <c r="BK4" s="61" t="s">
        <v>456</v>
      </c>
      <c r="BL4" s="61" t="s">
        <v>456</v>
      </c>
      <c r="BM4" s="61">
        <v>2548</v>
      </c>
      <c r="BN4" s="61">
        <v>494</v>
      </c>
      <c r="BO4" s="61">
        <v>962</v>
      </c>
      <c r="BP4" s="61">
        <v>2479</v>
      </c>
      <c r="BQ4" s="61">
        <v>2203</v>
      </c>
      <c r="BR4" s="61">
        <v>0</v>
      </c>
      <c r="BS4" s="61">
        <v>0</v>
      </c>
      <c r="BT4" s="61">
        <v>0</v>
      </c>
      <c r="BU4" s="61">
        <v>0</v>
      </c>
      <c r="BV4" s="61">
        <v>0</v>
      </c>
      <c r="BW4" s="61">
        <v>0</v>
      </c>
      <c r="BX4" s="61">
        <v>0</v>
      </c>
      <c r="BY4" s="61" t="s">
        <v>462</v>
      </c>
      <c r="BZ4" s="61" t="s">
        <v>462</v>
      </c>
      <c r="CA4" s="61" t="s">
        <v>456</v>
      </c>
      <c r="CB4" s="61" t="s">
        <v>463</v>
      </c>
      <c r="CC4" s="61">
        <v>1</v>
      </c>
      <c r="CD4" s="61">
        <v>1</v>
      </c>
      <c r="CE4" s="61">
        <v>0</v>
      </c>
      <c r="CF4" s="61"/>
      <c r="CG4" s="61" t="s">
        <v>458</v>
      </c>
    </row>
    <row r="5" s="52" customFormat="1" ht="13.5" spans="1:85">
      <c r="A5" s="61" t="s">
        <v>51</v>
      </c>
      <c r="B5" s="61" t="s">
        <v>464</v>
      </c>
      <c r="C5" s="61">
        <v>13950</v>
      </c>
      <c r="D5" s="61"/>
      <c r="E5" s="61" t="s">
        <v>52</v>
      </c>
      <c r="F5" s="61" t="b">
        <f>IF(COUNTIF(按提示输入属性!D18,E5)&gt;0,TRUE,FALSE)</f>
        <v>1</v>
      </c>
      <c r="G5" s="61"/>
      <c r="H5" s="61"/>
      <c r="I5" s="61"/>
      <c r="J5" s="61"/>
      <c r="K5" s="61">
        <v>584</v>
      </c>
      <c r="L5" s="61">
        <f>INT(K5*F342)+1</f>
        <v>628</v>
      </c>
      <c r="M5" s="61">
        <v>1138</v>
      </c>
      <c r="N5" s="61">
        <f>INT(M5*F342)</f>
        <v>1223</v>
      </c>
      <c r="O5" s="61">
        <v>0</v>
      </c>
      <c r="P5" s="61">
        <f>INT(O5*F342)</f>
        <v>0</v>
      </c>
      <c r="Q5" s="61">
        <v>0</v>
      </c>
      <c r="R5" s="61">
        <f>INT(Q5*F342)</f>
        <v>0</v>
      </c>
      <c r="S5" s="61">
        <v>2933</v>
      </c>
      <c r="T5" s="61">
        <f>INT(S5*F342)</f>
        <v>3153</v>
      </c>
      <c r="U5" s="61">
        <v>2607</v>
      </c>
      <c r="V5" s="61">
        <f>INT(U5*F342)</f>
        <v>2803</v>
      </c>
      <c r="W5" s="61">
        <v>0</v>
      </c>
      <c r="X5" s="61">
        <f>INT(W5*F342)</f>
        <v>0</v>
      </c>
      <c r="Y5" s="61">
        <v>0</v>
      </c>
      <c r="Z5" s="61">
        <v>0</v>
      </c>
      <c r="AA5" s="61">
        <v>0</v>
      </c>
      <c r="AB5" s="61">
        <v>1</v>
      </c>
      <c r="AC5" s="61">
        <v>0</v>
      </c>
      <c r="AD5" s="61">
        <v>0</v>
      </c>
      <c r="AE5" s="61">
        <v>0</v>
      </c>
      <c r="AF5" s="61">
        <v>0</v>
      </c>
      <c r="AG5" s="61">
        <v>0</v>
      </c>
      <c r="AH5" s="61">
        <v>0</v>
      </c>
      <c r="AI5" s="61">
        <v>0</v>
      </c>
      <c r="AJ5" s="61"/>
      <c r="AK5" s="61"/>
      <c r="AL5" s="61"/>
      <c r="AM5" s="61"/>
      <c r="AN5" s="61"/>
      <c r="AO5" s="61"/>
      <c r="AP5" s="61" t="s">
        <v>465</v>
      </c>
      <c r="AQ5" s="61">
        <v>6</v>
      </c>
      <c r="AR5" s="61" t="s">
        <v>449</v>
      </c>
      <c r="AS5" s="61">
        <v>1</v>
      </c>
      <c r="AT5" s="61" t="s">
        <v>450</v>
      </c>
      <c r="AU5" s="61" t="s">
        <v>450</v>
      </c>
      <c r="AV5" s="61" t="s">
        <v>450</v>
      </c>
      <c r="AW5" s="61">
        <v>3014</v>
      </c>
      <c r="AX5" s="61">
        <v>0</v>
      </c>
      <c r="AY5" s="61">
        <v>0</v>
      </c>
      <c r="AZ5" s="61">
        <v>0</v>
      </c>
      <c r="BA5" s="61" t="s">
        <v>451</v>
      </c>
      <c r="BB5" s="61" t="s">
        <v>452</v>
      </c>
      <c r="BC5" s="61" t="s">
        <v>453</v>
      </c>
      <c r="BD5" s="61" t="s">
        <v>454</v>
      </c>
      <c r="BE5" s="61" t="s">
        <v>462</v>
      </c>
      <c r="BF5" s="61" t="s">
        <v>456</v>
      </c>
      <c r="BG5" s="61" t="s">
        <v>456</v>
      </c>
      <c r="BH5" s="61" t="s">
        <v>456</v>
      </c>
      <c r="BI5" s="61" t="s">
        <v>456</v>
      </c>
      <c r="BJ5" s="61" t="s">
        <v>456</v>
      </c>
      <c r="BK5" s="61" t="s">
        <v>456</v>
      </c>
      <c r="BL5" s="61" t="s">
        <v>456</v>
      </c>
      <c r="BM5" s="61">
        <v>2512</v>
      </c>
      <c r="BN5" s="61">
        <v>487</v>
      </c>
      <c r="BO5" s="61">
        <v>948</v>
      </c>
      <c r="BP5" s="61">
        <v>2444</v>
      </c>
      <c r="BQ5" s="61">
        <v>2172</v>
      </c>
      <c r="BR5" s="61">
        <v>0</v>
      </c>
      <c r="BS5" s="61">
        <v>0</v>
      </c>
      <c r="BT5" s="61">
        <v>0</v>
      </c>
      <c r="BU5" s="61">
        <v>0</v>
      </c>
      <c r="BV5" s="61">
        <v>0</v>
      </c>
      <c r="BW5" s="61">
        <v>0</v>
      </c>
      <c r="BX5" s="61">
        <v>0</v>
      </c>
      <c r="BY5" s="61" t="s">
        <v>462</v>
      </c>
      <c r="BZ5" s="61" t="s">
        <v>462</v>
      </c>
      <c r="CA5" s="61" t="s">
        <v>456</v>
      </c>
      <c r="CB5" s="61" t="s">
        <v>451</v>
      </c>
      <c r="CC5" s="61">
        <v>1</v>
      </c>
      <c r="CD5" s="61">
        <v>1</v>
      </c>
      <c r="CE5" s="61">
        <v>0</v>
      </c>
      <c r="CF5" s="61"/>
      <c r="CG5" s="61" t="s">
        <v>449</v>
      </c>
    </row>
    <row r="6" s="52" customFormat="1" ht="13.5" spans="1:85">
      <c r="A6" s="61" t="s">
        <v>51</v>
      </c>
      <c r="B6" s="61" t="s">
        <v>466</v>
      </c>
      <c r="C6" s="61">
        <v>13950</v>
      </c>
      <c r="D6" s="61"/>
      <c r="E6" s="61" t="s">
        <v>467</v>
      </c>
      <c r="F6" s="61" t="b">
        <f>IF(COUNTIF(按提示输入属性!D18,E6)&gt;0,TRUE,FALSE)</f>
        <v>0</v>
      </c>
      <c r="G6" s="61"/>
      <c r="H6" s="61"/>
      <c r="I6" s="61"/>
      <c r="J6" s="61"/>
      <c r="K6" s="61">
        <v>584</v>
      </c>
      <c r="L6" s="61">
        <f>INT(K6*F342)+1</f>
        <v>628</v>
      </c>
      <c r="M6" s="61">
        <v>1138</v>
      </c>
      <c r="N6" s="61">
        <f>INT(M6*F342)</f>
        <v>1223</v>
      </c>
      <c r="O6" s="61">
        <v>2933</v>
      </c>
      <c r="P6" s="61">
        <f>INT(O6*F342)</f>
        <v>3153</v>
      </c>
      <c r="Q6" s="61">
        <v>0</v>
      </c>
      <c r="R6" s="61">
        <f>INT(Q6*F342)</f>
        <v>0</v>
      </c>
      <c r="S6" s="61">
        <v>0</v>
      </c>
      <c r="T6" s="61">
        <f>INT(S6*F342)</f>
        <v>0</v>
      </c>
      <c r="U6" s="61">
        <v>2607</v>
      </c>
      <c r="V6" s="61">
        <f>INT(U6*F342)</f>
        <v>2803</v>
      </c>
      <c r="W6" s="61">
        <v>0</v>
      </c>
      <c r="X6" s="61">
        <f>INT(W6*F342)</f>
        <v>0</v>
      </c>
      <c r="Y6" s="61">
        <v>0</v>
      </c>
      <c r="Z6" s="61">
        <v>0</v>
      </c>
      <c r="AA6" s="61">
        <v>0</v>
      </c>
      <c r="AB6" s="61">
        <v>1</v>
      </c>
      <c r="AC6" s="61">
        <v>0</v>
      </c>
      <c r="AD6" s="61">
        <v>0</v>
      </c>
      <c r="AE6" s="61">
        <v>0</v>
      </c>
      <c r="AF6" s="61">
        <v>0</v>
      </c>
      <c r="AG6" s="61">
        <v>0</v>
      </c>
      <c r="AH6" s="61">
        <v>0</v>
      </c>
      <c r="AI6" s="61">
        <v>0</v>
      </c>
      <c r="AJ6" s="61"/>
      <c r="AK6" s="61"/>
      <c r="AL6" s="61"/>
      <c r="AM6" s="61"/>
      <c r="AN6" s="61"/>
      <c r="AO6" s="61"/>
      <c r="AP6" s="61" t="s">
        <v>468</v>
      </c>
      <c r="AQ6" s="61">
        <v>6</v>
      </c>
      <c r="AR6" s="61" t="s">
        <v>469</v>
      </c>
      <c r="AS6" s="61">
        <v>1</v>
      </c>
      <c r="AT6" s="61" t="s">
        <v>450</v>
      </c>
      <c r="AU6" s="61" t="s">
        <v>450</v>
      </c>
      <c r="AV6" s="61" t="s">
        <v>450</v>
      </c>
      <c r="AW6" s="61">
        <v>3014</v>
      </c>
      <c r="AX6" s="61">
        <v>0</v>
      </c>
      <c r="AY6" s="61">
        <v>0</v>
      </c>
      <c r="AZ6" s="61">
        <v>0</v>
      </c>
      <c r="BA6" s="61" t="s">
        <v>451</v>
      </c>
      <c r="BB6" s="61" t="s">
        <v>452</v>
      </c>
      <c r="BC6" s="61" t="s">
        <v>453</v>
      </c>
      <c r="BD6" s="61" t="s">
        <v>454</v>
      </c>
      <c r="BE6" s="61" t="s">
        <v>455</v>
      </c>
      <c r="BF6" s="61" t="s">
        <v>456</v>
      </c>
      <c r="BG6" s="61" t="s">
        <v>456</v>
      </c>
      <c r="BH6" s="61" t="s">
        <v>456</v>
      </c>
      <c r="BI6" s="61" t="s">
        <v>456</v>
      </c>
      <c r="BJ6" s="61" t="s">
        <v>456</v>
      </c>
      <c r="BK6" s="61" t="s">
        <v>456</v>
      </c>
      <c r="BL6" s="61" t="s">
        <v>456</v>
      </c>
      <c r="BM6" s="61">
        <v>2512</v>
      </c>
      <c r="BN6" s="61">
        <v>487</v>
      </c>
      <c r="BO6" s="61">
        <v>948</v>
      </c>
      <c r="BP6" s="61">
        <v>2444</v>
      </c>
      <c r="BQ6" s="61">
        <v>2172</v>
      </c>
      <c r="BR6" s="61">
        <v>0</v>
      </c>
      <c r="BS6" s="61">
        <v>0</v>
      </c>
      <c r="BT6" s="61">
        <v>0</v>
      </c>
      <c r="BU6" s="61">
        <v>0</v>
      </c>
      <c r="BV6" s="61">
        <v>0</v>
      </c>
      <c r="BW6" s="61">
        <v>0</v>
      </c>
      <c r="BX6" s="61">
        <v>0</v>
      </c>
      <c r="BY6" s="61" t="s">
        <v>452</v>
      </c>
      <c r="BZ6" s="61" t="s">
        <v>452</v>
      </c>
      <c r="CA6" s="61" t="s">
        <v>456</v>
      </c>
      <c r="CB6" s="61"/>
      <c r="CC6" s="61">
        <v>1</v>
      </c>
      <c r="CD6" s="61">
        <v>1</v>
      </c>
      <c r="CE6" s="61">
        <v>0</v>
      </c>
      <c r="CF6" s="61"/>
      <c r="CG6" s="61" t="s">
        <v>449</v>
      </c>
    </row>
    <row r="7" s="53" customFormat="1" ht="13.5" spans="1:85">
      <c r="A7" s="62" t="s">
        <v>51</v>
      </c>
      <c r="B7" s="62" t="s">
        <v>470</v>
      </c>
      <c r="C7" s="62">
        <v>13550</v>
      </c>
      <c r="D7" s="62"/>
      <c r="E7" s="62" t="s">
        <v>471</v>
      </c>
      <c r="F7" s="62" t="b">
        <f>IF(COUNTIF(按提示输入属性!D18,E7)&gt;0,TRUE,FALSE)</f>
        <v>0</v>
      </c>
      <c r="G7" s="62"/>
      <c r="H7" s="62"/>
      <c r="I7" s="62"/>
      <c r="J7" s="62"/>
      <c r="K7" s="62">
        <v>0</v>
      </c>
      <c r="L7" s="62">
        <f>INT(K7*F342)</f>
        <v>0</v>
      </c>
      <c r="M7" s="62">
        <v>2890</v>
      </c>
      <c r="N7" s="62">
        <f>INT(M7*F344)</f>
        <v>2959</v>
      </c>
      <c r="O7" s="62">
        <v>5618</v>
      </c>
      <c r="P7" s="62">
        <f>INT(O7*F344)</f>
        <v>5753</v>
      </c>
      <c r="Q7" s="62">
        <v>0</v>
      </c>
      <c r="R7" s="62">
        <f>INT(Q7*F344)</f>
        <v>0</v>
      </c>
      <c r="S7" s="62">
        <v>0</v>
      </c>
      <c r="T7" s="62">
        <f>INT(S7*F344)</f>
        <v>0</v>
      </c>
      <c r="U7" s="62">
        <v>0</v>
      </c>
      <c r="V7" s="62">
        <f>INT(U7*F344)</f>
        <v>0</v>
      </c>
      <c r="W7" s="62">
        <v>0</v>
      </c>
      <c r="X7" s="62">
        <f>INT(W7*F342)</f>
        <v>0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0</v>
      </c>
      <c r="AE7" s="62">
        <v>1</v>
      </c>
      <c r="AF7" s="62">
        <v>0</v>
      </c>
      <c r="AG7" s="62">
        <v>0</v>
      </c>
      <c r="AH7" s="62">
        <v>0</v>
      </c>
      <c r="AI7" s="62">
        <v>0</v>
      </c>
      <c r="AJ7" s="62"/>
      <c r="AK7" s="62"/>
      <c r="AL7" s="62"/>
      <c r="AM7" s="62"/>
      <c r="AN7" s="62"/>
      <c r="AO7" s="62"/>
      <c r="AP7" s="62" t="s">
        <v>472</v>
      </c>
      <c r="AQ7" s="62">
        <v>3</v>
      </c>
      <c r="AR7" s="62" t="s">
        <v>473</v>
      </c>
      <c r="AS7" s="62">
        <v>1</v>
      </c>
      <c r="AT7" s="62" t="s">
        <v>450</v>
      </c>
      <c r="AU7" s="62" t="s">
        <v>450</v>
      </c>
      <c r="AV7" s="62" t="s">
        <v>450</v>
      </c>
      <c r="AW7" s="62">
        <v>0</v>
      </c>
      <c r="AX7" s="62">
        <v>0</v>
      </c>
      <c r="AY7" s="62">
        <v>0</v>
      </c>
      <c r="AZ7" s="62">
        <v>0</v>
      </c>
      <c r="BA7" s="62" t="s">
        <v>451</v>
      </c>
      <c r="BB7" s="62" t="s">
        <v>452</v>
      </c>
      <c r="BC7" s="62" t="s">
        <v>453</v>
      </c>
      <c r="BD7" s="62" t="s">
        <v>454</v>
      </c>
      <c r="BE7" s="62" t="s">
        <v>455</v>
      </c>
      <c r="BF7" s="62" t="s">
        <v>456</v>
      </c>
      <c r="BG7" s="62" t="s">
        <v>456</v>
      </c>
      <c r="BH7" s="62" t="s">
        <v>456</v>
      </c>
      <c r="BI7" s="62" t="s">
        <v>456</v>
      </c>
      <c r="BJ7" s="62" t="s">
        <v>456</v>
      </c>
      <c r="BK7" s="62" t="s">
        <v>456</v>
      </c>
      <c r="BL7" s="62" t="s">
        <v>456</v>
      </c>
      <c r="BM7" s="62">
        <v>2512</v>
      </c>
      <c r="BN7" s="62">
        <v>487</v>
      </c>
      <c r="BO7" s="62">
        <v>948</v>
      </c>
      <c r="BP7" s="62">
        <v>2444</v>
      </c>
      <c r="BQ7" s="62">
        <v>2172</v>
      </c>
      <c r="BR7" s="62">
        <v>0</v>
      </c>
      <c r="BS7" s="62">
        <v>0</v>
      </c>
      <c r="BT7" s="62">
        <v>0</v>
      </c>
      <c r="BU7" s="62">
        <v>0</v>
      </c>
      <c r="BV7" s="62">
        <v>0</v>
      </c>
      <c r="BW7" s="62">
        <v>0</v>
      </c>
      <c r="BX7" s="62">
        <v>0</v>
      </c>
      <c r="BY7" s="62" t="s">
        <v>456</v>
      </c>
      <c r="BZ7" s="62" t="s">
        <v>456</v>
      </c>
      <c r="CA7" s="62" t="s">
        <v>456</v>
      </c>
      <c r="CB7" s="62"/>
      <c r="CC7" s="62">
        <v>0</v>
      </c>
      <c r="CD7" s="62">
        <v>0</v>
      </c>
      <c r="CE7" s="62">
        <v>0</v>
      </c>
      <c r="CF7" s="62"/>
      <c r="CG7" s="62" t="s">
        <v>449</v>
      </c>
    </row>
    <row r="8" s="53" customFormat="1" ht="13.5" spans="1:85">
      <c r="A8" s="62" t="s">
        <v>51</v>
      </c>
      <c r="B8" s="62" t="s">
        <v>470</v>
      </c>
      <c r="C8" s="62">
        <v>13550</v>
      </c>
      <c r="D8" s="62"/>
      <c r="E8" s="62" t="s">
        <v>474</v>
      </c>
      <c r="F8" s="62" t="b">
        <f>IF(COUNTIF(按提示输入属性!D18,E8)&gt;0,TRUE,FALSE)</f>
        <v>0</v>
      </c>
      <c r="G8" s="62"/>
      <c r="H8" s="62"/>
      <c r="I8" s="62"/>
      <c r="J8" s="62"/>
      <c r="K8" s="62">
        <v>0</v>
      </c>
      <c r="L8" s="62">
        <f>INT(K8*F342)</f>
        <v>0</v>
      </c>
      <c r="M8" s="62">
        <v>2465</v>
      </c>
      <c r="N8" s="62">
        <f>INT(M8*F344)</f>
        <v>2524</v>
      </c>
      <c r="O8" s="62">
        <v>0</v>
      </c>
      <c r="P8" s="61">
        <f>INT(O8*F344)</f>
        <v>0</v>
      </c>
      <c r="Q8" s="62">
        <v>0</v>
      </c>
      <c r="R8" s="61">
        <f>INT(Q8*F344)</f>
        <v>0</v>
      </c>
      <c r="S8" s="62">
        <v>3323</v>
      </c>
      <c r="T8" s="61">
        <f>INT(S8*F344)</f>
        <v>3403</v>
      </c>
      <c r="U8" s="62">
        <v>3165</v>
      </c>
      <c r="V8" s="61">
        <f>INT(U8*F344)</f>
        <v>3241</v>
      </c>
      <c r="W8" s="62">
        <v>0</v>
      </c>
      <c r="X8" s="61">
        <f>INT(W8*F342)</f>
        <v>0</v>
      </c>
      <c r="Y8" s="62">
        <v>0</v>
      </c>
      <c r="Z8" s="62">
        <v>0</v>
      </c>
      <c r="AA8" s="62">
        <v>0</v>
      </c>
      <c r="AB8" s="62">
        <v>0</v>
      </c>
      <c r="AC8" s="62">
        <v>0</v>
      </c>
      <c r="AD8" s="62">
        <v>1</v>
      </c>
      <c r="AE8" s="62">
        <v>0</v>
      </c>
      <c r="AF8" s="62">
        <v>0</v>
      </c>
      <c r="AG8" s="62">
        <v>0</v>
      </c>
      <c r="AH8" s="62">
        <v>0</v>
      </c>
      <c r="AI8" s="62">
        <v>0</v>
      </c>
      <c r="AJ8" s="62"/>
      <c r="AK8" s="62"/>
      <c r="AL8" s="62"/>
      <c r="AM8" s="62"/>
      <c r="AN8" s="62"/>
      <c r="AO8" s="62"/>
      <c r="AP8" s="62" t="s">
        <v>475</v>
      </c>
      <c r="AQ8" s="62">
        <v>3</v>
      </c>
      <c r="AR8" s="62" t="s">
        <v>473</v>
      </c>
      <c r="AS8" s="62">
        <v>1</v>
      </c>
      <c r="AT8" s="62" t="s">
        <v>450</v>
      </c>
      <c r="AU8" s="62" t="s">
        <v>450</v>
      </c>
      <c r="AV8" s="62" t="s">
        <v>450</v>
      </c>
      <c r="AW8" s="62">
        <v>0</v>
      </c>
      <c r="AX8" s="62">
        <v>0</v>
      </c>
      <c r="AY8" s="62">
        <v>0</v>
      </c>
      <c r="AZ8" s="62">
        <v>0</v>
      </c>
      <c r="BA8" s="62" t="s">
        <v>451</v>
      </c>
      <c r="BB8" s="62" t="s">
        <v>452</v>
      </c>
      <c r="BC8" s="62" t="s">
        <v>453</v>
      </c>
      <c r="BD8" s="62" t="s">
        <v>461</v>
      </c>
      <c r="BE8" s="62" t="s">
        <v>462</v>
      </c>
      <c r="BF8" s="62" t="s">
        <v>456</v>
      </c>
      <c r="BG8" s="62" t="s">
        <v>456</v>
      </c>
      <c r="BH8" s="62" t="s">
        <v>456</v>
      </c>
      <c r="BI8" s="62" t="s">
        <v>456</v>
      </c>
      <c r="BJ8" s="62" t="s">
        <v>456</v>
      </c>
      <c r="BK8" s="62" t="s">
        <v>456</v>
      </c>
      <c r="BL8" s="62" t="s">
        <v>456</v>
      </c>
      <c r="BM8" s="62">
        <v>2512</v>
      </c>
      <c r="BN8" s="62">
        <v>487</v>
      </c>
      <c r="BO8" s="62">
        <v>948</v>
      </c>
      <c r="BP8" s="62">
        <v>2444</v>
      </c>
      <c r="BQ8" s="62">
        <v>2172</v>
      </c>
      <c r="BR8" s="62">
        <v>0</v>
      </c>
      <c r="BS8" s="62">
        <v>0</v>
      </c>
      <c r="BT8" s="62">
        <v>0</v>
      </c>
      <c r="BU8" s="62">
        <v>0</v>
      </c>
      <c r="BV8" s="62">
        <v>0</v>
      </c>
      <c r="BW8" s="62">
        <v>0</v>
      </c>
      <c r="BX8" s="62">
        <v>0</v>
      </c>
      <c r="BY8" s="62" t="s">
        <v>454</v>
      </c>
      <c r="BZ8" s="62" t="s">
        <v>454</v>
      </c>
      <c r="CA8" s="62" t="s">
        <v>456</v>
      </c>
      <c r="CB8" s="62"/>
      <c r="CC8" s="62">
        <v>1</v>
      </c>
      <c r="CD8" s="62">
        <v>1</v>
      </c>
      <c r="CE8" s="62">
        <v>0</v>
      </c>
      <c r="CF8" s="62"/>
      <c r="CG8" s="62" t="s">
        <v>449</v>
      </c>
    </row>
    <row r="9" s="53" customFormat="1" ht="13.5" spans="1:85">
      <c r="A9" s="62" t="s">
        <v>51</v>
      </c>
      <c r="B9" s="62" t="s">
        <v>470</v>
      </c>
      <c r="C9" s="62">
        <v>13550</v>
      </c>
      <c r="D9" s="62"/>
      <c r="E9" s="62" t="s">
        <v>476</v>
      </c>
      <c r="F9" s="62" t="b">
        <f>IF(COUNTIF(按提示输入属性!D18,E9)&gt;0,TRUE,FALSE)</f>
        <v>0</v>
      </c>
      <c r="G9" s="62"/>
      <c r="H9" s="62"/>
      <c r="I9" s="62"/>
      <c r="J9" s="62"/>
      <c r="K9" s="62">
        <v>0</v>
      </c>
      <c r="L9" s="62">
        <f>INT(K9*F342)</f>
        <v>0</v>
      </c>
      <c r="M9" s="62">
        <v>2720</v>
      </c>
      <c r="N9" s="62">
        <f>INT(M9*F344)</f>
        <v>2785</v>
      </c>
      <c r="O9" s="62">
        <v>2057</v>
      </c>
      <c r="P9" s="62">
        <f>INT(O9*F344)</f>
        <v>2106</v>
      </c>
      <c r="Q9" s="62">
        <v>0</v>
      </c>
      <c r="R9" s="62">
        <f>INT(Q9*F344)</f>
        <v>0</v>
      </c>
      <c r="S9" s="62">
        <v>2057</v>
      </c>
      <c r="T9" s="62">
        <f>INT(S9*F344)</f>
        <v>2106</v>
      </c>
      <c r="U9" s="62">
        <v>1899</v>
      </c>
      <c r="V9" s="62">
        <f>INT(U9*F344)+1</f>
        <v>1945</v>
      </c>
      <c r="W9" s="62">
        <v>0</v>
      </c>
      <c r="X9" s="62">
        <f>INT(W9*F342)</f>
        <v>0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  <c r="AD9" s="62">
        <v>0</v>
      </c>
      <c r="AE9" s="62">
        <v>1</v>
      </c>
      <c r="AF9" s="62">
        <v>0</v>
      </c>
      <c r="AG9" s="62">
        <v>0</v>
      </c>
      <c r="AH9" s="62">
        <v>0</v>
      </c>
      <c r="AI9" s="62">
        <v>0</v>
      </c>
      <c r="AJ9" s="62"/>
      <c r="AK9" s="62"/>
      <c r="AL9" s="62"/>
      <c r="AM9" s="62"/>
      <c r="AN9" s="62"/>
      <c r="AO9" s="62"/>
      <c r="AP9" s="62" t="s">
        <v>477</v>
      </c>
      <c r="AQ9" s="62">
        <v>3</v>
      </c>
      <c r="AR9" s="62" t="s">
        <v>473</v>
      </c>
      <c r="AS9" s="62">
        <v>1</v>
      </c>
      <c r="AT9" s="62" t="s">
        <v>450</v>
      </c>
      <c r="AU9" s="62" t="s">
        <v>450</v>
      </c>
      <c r="AV9" s="62" t="s">
        <v>450</v>
      </c>
      <c r="AW9" s="62">
        <v>0</v>
      </c>
      <c r="AX9" s="62">
        <v>0</v>
      </c>
      <c r="AY9" s="62">
        <v>0</v>
      </c>
      <c r="AZ9" s="62">
        <v>0</v>
      </c>
      <c r="BA9" s="62" t="s">
        <v>451</v>
      </c>
      <c r="BB9" s="62" t="s">
        <v>452</v>
      </c>
      <c r="BC9" s="62" t="s">
        <v>453</v>
      </c>
      <c r="BD9" s="62" t="s">
        <v>461</v>
      </c>
      <c r="BE9" s="62" t="s">
        <v>455</v>
      </c>
      <c r="BF9" s="62" t="s">
        <v>456</v>
      </c>
      <c r="BG9" s="62" t="s">
        <v>456</v>
      </c>
      <c r="BH9" s="62" t="s">
        <v>456</v>
      </c>
      <c r="BI9" s="62" t="s">
        <v>456</v>
      </c>
      <c r="BJ9" s="62" t="s">
        <v>456</v>
      </c>
      <c r="BK9" s="62" t="s">
        <v>456</v>
      </c>
      <c r="BL9" s="62" t="s">
        <v>456</v>
      </c>
      <c r="BM9" s="62">
        <v>2512</v>
      </c>
      <c r="BN9" s="62">
        <v>487</v>
      </c>
      <c r="BO9" s="62">
        <v>948</v>
      </c>
      <c r="BP9" s="62">
        <v>2444</v>
      </c>
      <c r="BQ9" s="62">
        <v>2172</v>
      </c>
      <c r="BR9" s="62">
        <v>0</v>
      </c>
      <c r="BS9" s="62">
        <v>0</v>
      </c>
      <c r="BT9" s="62">
        <v>0</v>
      </c>
      <c r="BU9" s="62">
        <v>0</v>
      </c>
      <c r="BV9" s="62">
        <v>0</v>
      </c>
      <c r="BW9" s="62">
        <v>0</v>
      </c>
      <c r="BX9" s="62">
        <v>0</v>
      </c>
      <c r="BY9" s="62" t="s">
        <v>452</v>
      </c>
      <c r="BZ9" s="62" t="s">
        <v>452</v>
      </c>
      <c r="CA9" s="62" t="s">
        <v>456</v>
      </c>
      <c r="CB9" s="62"/>
      <c r="CC9" s="62">
        <v>1</v>
      </c>
      <c r="CD9" s="62">
        <v>1</v>
      </c>
      <c r="CE9" s="62">
        <v>0</v>
      </c>
      <c r="CF9" s="62"/>
      <c r="CG9" s="62" t="s">
        <v>449</v>
      </c>
    </row>
    <row r="10" s="53" customFormat="1" ht="13.5" spans="1:85">
      <c r="A10" s="62" t="s">
        <v>51</v>
      </c>
      <c r="B10" s="62" t="s">
        <v>470</v>
      </c>
      <c r="C10" s="62">
        <v>12800</v>
      </c>
      <c r="D10" s="62"/>
      <c r="E10" s="62" t="s">
        <v>478</v>
      </c>
      <c r="F10" s="62" t="b">
        <f>IF(COUNTIF(按提示输入属性!D18,E10)&gt;0,TRUE,FALSE)</f>
        <v>0</v>
      </c>
      <c r="G10" s="62"/>
      <c r="H10" s="62"/>
      <c r="I10" s="62"/>
      <c r="J10" s="62"/>
      <c r="K10" s="62">
        <v>0</v>
      </c>
      <c r="L10" s="62">
        <f>INT(K10*F342)</f>
        <v>0</v>
      </c>
      <c r="M10" s="62">
        <v>2730</v>
      </c>
      <c r="N10" s="62">
        <f>INT(M10*F344)</f>
        <v>2795</v>
      </c>
      <c r="O10" s="62">
        <v>0</v>
      </c>
      <c r="P10" s="61">
        <f>INT(O10*F344)</f>
        <v>0</v>
      </c>
      <c r="Q10" s="62">
        <v>0</v>
      </c>
      <c r="R10" s="61">
        <f>INT(Q10*F344)</f>
        <v>0</v>
      </c>
      <c r="S10" s="62">
        <v>5307</v>
      </c>
      <c r="T10" s="61">
        <f>INT(S10*F344)</f>
        <v>5435</v>
      </c>
      <c r="U10" s="62">
        <v>0</v>
      </c>
      <c r="V10" s="61">
        <f>INT(U10*F344)</f>
        <v>0</v>
      </c>
      <c r="W10" s="62">
        <v>0</v>
      </c>
      <c r="X10" s="61">
        <f>INT(W10*F342)</f>
        <v>0</v>
      </c>
      <c r="Y10" s="62">
        <v>0</v>
      </c>
      <c r="Z10" s="62">
        <v>0</v>
      </c>
      <c r="AA10" s="62">
        <v>0</v>
      </c>
      <c r="AB10" s="62">
        <v>0</v>
      </c>
      <c r="AC10" s="62">
        <v>0</v>
      </c>
      <c r="AD10" s="62">
        <v>0</v>
      </c>
      <c r="AE10" s="62">
        <v>0</v>
      </c>
      <c r="AF10" s="62">
        <v>0</v>
      </c>
      <c r="AG10" s="62">
        <v>1</v>
      </c>
      <c r="AH10" s="62">
        <v>0</v>
      </c>
      <c r="AI10" s="62">
        <v>0</v>
      </c>
      <c r="AJ10" s="62"/>
      <c r="AK10" s="62"/>
      <c r="AL10" s="62"/>
      <c r="AM10" s="62"/>
      <c r="AN10" s="62"/>
      <c r="AO10" s="62"/>
      <c r="AP10" s="62" t="s">
        <v>479</v>
      </c>
      <c r="AQ10" s="62">
        <v>3</v>
      </c>
      <c r="AR10" s="62" t="s">
        <v>473</v>
      </c>
      <c r="AS10" s="62">
        <v>1</v>
      </c>
      <c r="AT10" s="62" t="s">
        <v>450</v>
      </c>
      <c r="AU10" s="62" t="s">
        <v>450</v>
      </c>
      <c r="AV10" s="62" t="s">
        <v>450</v>
      </c>
      <c r="AW10" s="62">
        <v>0</v>
      </c>
      <c r="AX10" s="62">
        <v>0</v>
      </c>
      <c r="AY10" s="62">
        <v>0</v>
      </c>
      <c r="AZ10" s="62">
        <v>0</v>
      </c>
      <c r="BA10" s="62" t="s">
        <v>451</v>
      </c>
      <c r="BB10" s="62" t="s">
        <v>452</v>
      </c>
      <c r="BC10" s="62" t="s">
        <v>453</v>
      </c>
      <c r="BD10" s="62" t="s">
        <v>461</v>
      </c>
      <c r="BE10" s="62" t="s">
        <v>462</v>
      </c>
      <c r="BF10" s="62" t="s">
        <v>456</v>
      </c>
      <c r="BG10" s="62" t="s">
        <v>456</v>
      </c>
      <c r="BH10" s="62" t="s">
        <v>456</v>
      </c>
      <c r="BI10" s="62" t="s">
        <v>456</v>
      </c>
      <c r="BJ10" s="62" t="s">
        <v>456</v>
      </c>
      <c r="BK10" s="62" t="s">
        <v>456</v>
      </c>
      <c r="BL10" s="62" t="s">
        <v>456</v>
      </c>
      <c r="BM10" s="62">
        <v>2512</v>
      </c>
      <c r="BN10" s="62">
        <v>487</v>
      </c>
      <c r="BO10" s="62">
        <v>948</v>
      </c>
      <c r="BP10" s="62">
        <v>2444</v>
      </c>
      <c r="BQ10" s="62">
        <v>2172</v>
      </c>
      <c r="BR10" s="62">
        <v>0</v>
      </c>
      <c r="BS10" s="62">
        <v>0</v>
      </c>
      <c r="BT10" s="62">
        <v>0</v>
      </c>
      <c r="BU10" s="62">
        <v>0</v>
      </c>
      <c r="BV10" s="62">
        <v>0</v>
      </c>
      <c r="BW10" s="62">
        <v>0</v>
      </c>
      <c r="BX10" s="62">
        <v>0</v>
      </c>
      <c r="BY10" s="62" t="s">
        <v>456</v>
      </c>
      <c r="BZ10" s="62" t="s">
        <v>456</v>
      </c>
      <c r="CA10" s="62" t="s">
        <v>456</v>
      </c>
      <c r="CB10" s="62"/>
      <c r="CC10" s="62">
        <v>0</v>
      </c>
      <c r="CD10" s="62">
        <v>0</v>
      </c>
      <c r="CE10" s="62">
        <v>0</v>
      </c>
      <c r="CF10" s="62"/>
      <c r="CG10" s="62" t="s">
        <v>449</v>
      </c>
    </row>
    <row r="11" s="53" customFormat="1" ht="13.5" spans="1:85">
      <c r="A11" s="62" t="s">
        <v>51</v>
      </c>
      <c r="B11" s="62" t="s">
        <v>470</v>
      </c>
      <c r="C11" s="62">
        <v>12800</v>
      </c>
      <c r="D11" s="62"/>
      <c r="E11" s="62" t="s">
        <v>480</v>
      </c>
      <c r="F11" s="62" t="b">
        <f>IF(COUNTIF(按提示输入属性!D18,E11)&gt;0,TRUE,FALSE)</f>
        <v>0</v>
      </c>
      <c r="G11" s="62"/>
      <c r="H11" s="62"/>
      <c r="I11" s="62"/>
      <c r="J11" s="62"/>
      <c r="K11" s="62">
        <v>0</v>
      </c>
      <c r="L11" s="62">
        <f>INT(K11*F342)</f>
        <v>0</v>
      </c>
      <c r="M11" s="62">
        <v>2329</v>
      </c>
      <c r="N11" s="62">
        <f>INT(M11*F344)</f>
        <v>2385</v>
      </c>
      <c r="O11" s="62">
        <v>3737</v>
      </c>
      <c r="P11" s="62">
        <f>INT(O11*F344)</f>
        <v>3827</v>
      </c>
      <c r="Q11" s="62">
        <v>2242</v>
      </c>
      <c r="R11" s="62">
        <f>INT(Q11*F344)</f>
        <v>2296</v>
      </c>
      <c r="S11" s="62">
        <v>0</v>
      </c>
      <c r="T11" s="62">
        <f>INT(S11*F344)</f>
        <v>0</v>
      </c>
      <c r="U11" s="62">
        <v>0</v>
      </c>
      <c r="V11" s="62">
        <f>INT(U11*F344)</f>
        <v>0</v>
      </c>
      <c r="W11" s="62">
        <v>0</v>
      </c>
      <c r="X11" s="62">
        <f>INT(W11*F342)</f>
        <v>0</v>
      </c>
      <c r="Y11" s="62">
        <v>0</v>
      </c>
      <c r="Z11" s="62">
        <v>0</v>
      </c>
      <c r="AA11" s="62">
        <v>0</v>
      </c>
      <c r="AB11" s="62">
        <v>0</v>
      </c>
      <c r="AC11" s="62">
        <v>0</v>
      </c>
      <c r="AD11" s="62">
        <v>0</v>
      </c>
      <c r="AE11" s="62">
        <v>0</v>
      </c>
      <c r="AF11" s="62">
        <v>1</v>
      </c>
      <c r="AG11" s="62">
        <v>0</v>
      </c>
      <c r="AH11" s="62">
        <v>0</v>
      </c>
      <c r="AI11" s="62">
        <v>0</v>
      </c>
      <c r="AJ11" s="62"/>
      <c r="AK11" s="62"/>
      <c r="AL11" s="62"/>
      <c r="AM11" s="62"/>
      <c r="AN11" s="62"/>
      <c r="AO11" s="62"/>
      <c r="AP11" s="62" t="s">
        <v>481</v>
      </c>
      <c r="AQ11" s="62">
        <v>3</v>
      </c>
      <c r="AR11" s="62" t="s">
        <v>473</v>
      </c>
      <c r="AS11" s="62">
        <v>1</v>
      </c>
      <c r="AT11" s="62" t="s">
        <v>450</v>
      </c>
      <c r="AU11" s="62" t="s">
        <v>450</v>
      </c>
      <c r="AV11" s="62" t="s">
        <v>450</v>
      </c>
      <c r="AW11" s="62">
        <v>0</v>
      </c>
      <c r="AX11" s="62">
        <v>0</v>
      </c>
      <c r="AY11" s="62">
        <v>0</v>
      </c>
      <c r="AZ11" s="62">
        <v>0</v>
      </c>
      <c r="BA11" s="62" t="s">
        <v>451</v>
      </c>
      <c r="BB11" s="62" t="s">
        <v>452</v>
      </c>
      <c r="BC11" s="62" t="s">
        <v>453</v>
      </c>
      <c r="BD11" s="62" t="s">
        <v>454</v>
      </c>
      <c r="BE11" s="62" t="s">
        <v>462</v>
      </c>
      <c r="BF11" s="62" t="s">
        <v>456</v>
      </c>
      <c r="BG11" s="62" t="s">
        <v>456</v>
      </c>
      <c r="BH11" s="62" t="s">
        <v>456</v>
      </c>
      <c r="BI11" s="62" t="s">
        <v>456</v>
      </c>
      <c r="BJ11" s="62" t="s">
        <v>456</v>
      </c>
      <c r="BK11" s="62" t="s">
        <v>456</v>
      </c>
      <c r="BL11" s="62" t="s">
        <v>456</v>
      </c>
      <c r="BM11" s="62">
        <v>2512</v>
      </c>
      <c r="BN11" s="62">
        <v>487</v>
      </c>
      <c r="BO11" s="62">
        <v>948</v>
      </c>
      <c r="BP11" s="62">
        <v>2444</v>
      </c>
      <c r="BQ11" s="62">
        <v>2172</v>
      </c>
      <c r="BR11" s="62">
        <v>0</v>
      </c>
      <c r="BS11" s="62">
        <v>0</v>
      </c>
      <c r="BT11" s="62">
        <v>0</v>
      </c>
      <c r="BU11" s="62">
        <v>0</v>
      </c>
      <c r="BV11" s="62">
        <v>0</v>
      </c>
      <c r="BW11" s="62">
        <v>0</v>
      </c>
      <c r="BX11" s="62">
        <v>0</v>
      </c>
      <c r="BY11" s="62" t="s">
        <v>454</v>
      </c>
      <c r="BZ11" s="62" t="s">
        <v>454</v>
      </c>
      <c r="CA11" s="62" t="s">
        <v>456</v>
      </c>
      <c r="CB11" s="62"/>
      <c r="CC11" s="62">
        <v>1</v>
      </c>
      <c r="CD11" s="62">
        <v>1</v>
      </c>
      <c r="CE11" s="62">
        <v>0</v>
      </c>
      <c r="CF11" s="62"/>
      <c r="CG11" s="62" t="s">
        <v>449</v>
      </c>
    </row>
    <row r="12" s="53" customFormat="1" ht="13.5" spans="1:85">
      <c r="A12" s="62" t="s">
        <v>51</v>
      </c>
      <c r="B12" s="62" t="s">
        <v>470</v>
      </c>
      <c r="C12" s="62">
        <v>12800</v>
      </c>
      <c r="D12" s="62"/>
      <c r="E12" s="62" t="s">
        <v>482</v>
      </c>
      <c r="F12" s="62" t="b">
        <f>IF(COUNTIF(按提示输入属性!D18,E12)&gt;0,TRUE,FALSE)</f>
        <v>0</v>
      </c>
      <c r="G12" s="62"/>
      <c r="H12" s="62"/>
      <c r="I12" s="62"/>
      <c r="J12" s="62"/>
      <c r="K12" s="62">
        <v>0</v>
      </c>
      <c r="L12" s="62">
        <f>INT(K12*F342)</f>
        <v>0</v>
      </c>
      <c r="M12" s="62">
        <v>2329</v>
      </c>
      <c r="N12" s="62">
        <f>INT(M12*F344)</f>
        <v>2385</v>
      </c>
      <c r="O12" s="62">
        <v>2840</v>
      </c>
      <c r="P12" s="62">
        <f>INT(O12*F344)</f>
        <v>2908</v>
      </c>
      <c r="Q12" s="62">
        <v>1495</v>
      </c>
      <c r="R12" s="62">
        <f>INT(Q12*F344)</f>
        <v>1531</v>
      </c>
      <c r="S12" s="62">
        <v>0</v>
      </c>
      <c r="T12" s="62">
        <f>INT(S12*F344)</f>
        <v>0</v>
      </c>
      <c r="U12" s="62">
        <v>1644</v>
      </c>
      <c r="V12" s="62">
        <f>INT(U12*F344)</f>
        <v>1683</v>
      </c>
      <c r="W12" s="62">
        <v>0</v>
      </c>
      <c r="X12" s="62">
        <f>INT(W12*F342)</f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62">
        <v>0</v>
      </c>
      <c r="AE12" s="62">
        <v>0</v>
      </c>
      <c r="AF12" s="62">
        <v>1</v>
      </c>
      <c r="AG12" s="62">
        <v>0</v>
      </c>
      <c r="AH12" s="62">
        <v>0</v>
      </c>
      <c r="AI12" s="62">
        <v>0</v>
      </c>
      <c r="AJ12" s="62"/>
      <c r="AK12" s="62"/>
      <c r="AL12" s="62"/>
      <c r="AM12" s="62"/>
      <c r="AN12" s="62"/>
      <c r="AO12" s="62"/>
      <c r="AP12" s="62" t="s">
        <v>483</v>
      </c>
      <c r="AQ12" s="62">
        <v>3</v>
      </c>
      <c r="AR12" s="62" t="s">
        <v>473</v>
      </c>
      <c r="AS12" s="62">
        <v>1</v>
      </c>
      <c r="AT12" s="62" t="s">
        <v>450</v>
      </c>
      <c r="AU12" s="62" t="s">
        <v>450</v>
      </c>
      <c r="AV12" s="62" t="s">
        <v>450</v>
      </c>
      <c r="AW12" s="62">
        <v>0</v>
      </c>
      <c r="AX12" s="62">
        <v>0</v>
      </c>
      <c r="AY12" s="62">
        <v>0</v>
      </c>
      <c r="AZ12" s="62">
        <v>0</v>
      </c>
      <c r="BA12" s="62" t="s">
        <v>453</v>
      </c>
      <c r="BB12" s="62" t="s">
        <v>462</v>
      </c>
      <c r="BC12" s="62" t="s">
        <v>456</v>
      </c>
      <c r="BD12" s="62" t="s">
        <v>456</v>
      </c>
      <c r="BE12" s="62" t="s">
        <v>456</v>
      </c>
      <c r="BF12" s="62" t="s">
        <v>456</v>
      </c>
      <c r="BG12" s="62" t="s">
        <v>456</v>
      </c>
      <c r="BH12" s="62" t="s">
        <v>456</v>
      </c>
      <c r="BI12" s="62" t="s">
        <v>456</v>
      </c>
      <c r="BJ12" s="62" t="s">
        <v>456</v>
      </c>
      <c r="BK12" s="62" t="s">
        <v>456</v>
      </c>
      <c r="BL12" s="62" t="s">
        <v>456</v>
      </c>
      <c r="BM12" s="62">
        <v>2480</v>
      </c>
      <c r="BN12" s="62">
        <v>4820</v>
      </c>
      <c r="BO12" s="62">
        <v>0</v>
      </c>
      <c r="BP12" s="62">
        <v>0</v>
      </c>
      <c r="BQ12" s="62">
        <v>0</v>
      </c>
      <c r="BR12" s="62">
        <v>0</v>
      </c>
      <c r="BS12" s="62">
        <v>0</v>
      </c>
      <c r="BT12" s="62">
        <v>0</v>
      </c>
      <c r="BU12" s="62">
        <v>0</v>
      </c>
      <c r="BV12" s="62">
        <v>0</v>
      </c>
      <c r="BW12" s="62">
        <v>0</v>
      </c>
      <c r="BX12" s="62">
        <v>0</v>
      </c>
      <c r="BY12" s="62" t="s">
        <v>456</v>
      </c>
      <c r="BZ12" s="62" t="s">
        <v>456</v>
      </c>
      <c r="CA12" s="62" t="s">
        <v>456</v>
      </c>
      <c r="CB12" s="62"/>
      <c r="CC12" s="62">
        <v>0</v>
      </c>
      <c r="CD12" s="62">
        <v>0</v>
      </c>
      <c r="CE12" s="62">
        <v>0</v>
      </c>
      <c r="CF12" s="62"/>
      <c r="CG12" s="62" t="s">
        <v>449</v>
      </c>
    </row>
    <row r="13" s="52" customFormat="1" ht="13.5" spans="1:85">
      <c r="A13" s="61" t="s">
        <v>51</v>
      </c>
      <c r="B13" s="61" t="s">
        <v>484</v>
      </c>
      <c r="C13" s="61">
        <v>12600</v>
      </c>
      <c r="D13" s="61"/>
      <c r="E13" s="61" t="s">
        <v>485</v>
      </c>
      <c r="F13" s="61" t="b">
        <f>IF(COUNTIF(按提示输入属性!D18,E13)&gt;0,TRUE,FALSE)</f>
        <v>0</v>
      </c>
      <c r="G13" s="61"/>
      <c r="H13" s="61"/>
      <c r="I13" s="61"/>
      <c r="J13" s="61"/>
      <c r="K13" s="61">
        <v>528</v>
      </c>
      <c r="L13" s="61">
        <f>INT(K13*F342)</f>
        <v>567</v>
      </c>
      <c r="M13" s="61">
        <v>1028</v>
      </c>
      <c r="N13" s="61">
        <f>INT(M13*F342)</f>
        <v>1105</v>
      </c>
      <c r="O13" s="61">
        <v>0</v>
      </c>
      <c r="P13" s="61">
        <f>INT(O13*F342)</f>
        <v>0</v>
      </c>
      <c r="Q13" s="61">
        <v>0</v>
      </c>
      <c r="R13" s="61">
        <f>INT(Q13*F342)</f>
        <v>0</v>
      </c>
      <c r="S13" s="61">
        <v>2649</v>
      </c>
      <c r="T13" s="61">
        <f>INT(S13*F342)</f>
        <v>2848</v>
      </c>
      <c r="U13" s="61">
        <v>0</v>
      </c>
      <c r="V13" s="61">
        <f>INT(U13*F342)</f>
        <v>0</v>
      </c>
      <c r="W13" s="61">
        <v>2354</v>
      </c>
      <c r="X13" s="61">
        <f>INT(W13*F342)</f>
        <v>2531</v>
      </c>
      <c r="Y13" s="61">
        <v>0</v>
      </c>
      <c r="Z13" s="61">
        <v>0</v>
      </c>
      <c r="AA13" s="61">
        <v>0</v>
      </c>
      <c r="AB13" s="61">
        <v>0</v>
      </c>
      <c r="AC13" s="61">
        <v>1</v>
      </c>
      <c r="AD13" s="61">
        <v>0</v>
      </c>
      <c r="AE13" s="61">
        <v>0</v>
      </c>
      <c r="AF13" s="61">
        <v>0</v>
      </c>
      <c r="AG13" s="61">
        <v>0</v>
      </c>
      <c r="AH13" s="61">
        <v>0</v>
      </c>
      <c r="AI13" s="61">
        <v>0</v>
      </c>
      <c r="AJ13" s="61"/>
      <c r="AK13" s="61"/>
      <c r="AL13" s="61"/>
      <c r="AM13" s="61"/>
      <c r="AN13" s="61"/>
      <c r="AO13" s="61"/>
      <c r="AP13" s="61" t="s">
        <v>486</v>
      </c>
      <c r="AQ13" s="61">
        <v>6</v>
      </c>
      <c r="AR13" s="61" t="s">
        <v>458</v>
      </c>
      <c r="AS13" s="61">
        <v>1</v>
      </c>
      <c r="AT13" s="61" t="s">
        <v>450</v>
      </c>
      <c r="AU13" s="61" t="s">
        <v>450</v>
      </c>
      <c r="AV13" s="61" t="s">
        <v>450</v>
      </c>
      <c r="AW13" s="61">
        <v>2722</v>
      </c>
      <c r="AX13" s="61">
        <v>0</v>
      </c>
      <c r="AY13" s="61">
        <v>0</v>
      </c>
      <c r="AZ13" s="61">
        <v>0</v>
      </c>
      <c r="BA13" s="61" t="s">
        <v>453</v>
      </c>
      <c r="BB13" s="61" t="s">
        <v>487</v>
      </c>
      <c r="BC13" s="61" t="s">
        <v>454</v>
      </c>
      <c r="BD13" s="61" t="s">
        <v>456</v>
      </c>
      <c r="BE13" s="61" t="s">
        <v>456</v>
      </c>
      <c r="BF13" s="61" t="s">
        <v>456</v>
      </c>
      <c r="BG13" s="61" t="s">
        <v>456</v>
      </c>
      <c r="BH13" s="61" t="s">
        <v>456</v>
      </c>
      <c r="BI13" s="61" t="s">
        <v>456</v>
      </c>
      <c r="BJ13" s="61" t="s">
        <v>456</v>
      </c>
      <c r="BK13" s="61" t="s">
        <v>456</v>
      </c>
      <c r="BL13" s="61" t="s">
        <v>456</v>
      </c>
      <c r="BM13" s="61">
        <v>2115</v>
      </c>
      <c r="BN13" s="61">
        <v>2783</v>
      </c>
      <c r="BO13" s="61">
        <v>2783</v>
      </c>
      <c r="BP13" s="61">
        <v>0</v>
      </c>
      <c r="BQ13" s="61">
        <v>0</v>
      </c>
      <c r="BR13" s="61">
        <v>0</v>
      </c>
      <c r="BS13" s="61">
        <v>0</v>
      </c>
      <c r="BT13" s="61">
        <v>0</v>
      </c>
      <c r="BU13" s="61">
        <v>0</v>
      </c>
      <c r="BV13" s="61">
        <v>0</v>
      </c>
      <c r="BW13" s="61">
        <v>0</v>
      </c>
      <c r="BX13" s="61">
        <v>0</v>
      </c>
      <c r="BY13" s="61" t="s">
        <v>456</v>
      </c>
      <c r="BZ13" s="61" t="s">
        <v>456</v>
      </c>
      <c r="CA13" s="61" t="s">
        <v>456</v>
      </c>
      <c r="CB13" s="61"/>
      <c r="CC13" s="61">
        <v>0</v>
      </c>
      <c r="CD13" s="61">
        <v>0</v>
      </c>
      <c r="CE13" s="61">
        <v>0</v>
      </c>
      <c r="CF13" s="61"/>
      <c r="CG13" s="61" t="s">
        <v>449</v>
      </c>
    </row>
    <row r="14" s="52" customFormat="1" ht="13.5" spans="1:85">
      <c r="A14" s="61" t="s">
        <v>51</v>
      </c>
      <c r="B14" s="61" t="s">
        <v>488</v>
      </c>
      <c r="C14" s="61">
        <v>12450</v>
      </c>
      <c r="D14" s="61"/>
      <c r="E14" s="61" t="s">
        <v>489</v>
      </c>
      <c r="F14" s="61" t="b">
        <f>IF(COUNTIF(按提示输入属性!D18,E14)&gt;0,TRUE,FALSE)</f>
        <v>0</v>
      </c>
      <c r="G14" s="61"/>
      <c r="H14" s="61"/>
      <c r="I14" s="61"/>
      <c r="J14" s="61"/>
      <c r="K14" s="61">
        <v>522</v>
      </c>
      <c r="L14" s="61">
        <f>INT(K14*F342)</f>
        <v>561</v>
      </c>
      <c r="M14" s="61">
        <v>1015</v>
      </c>
      <c r="N14" s="61">
        <f>INT(M14*F342)</f>
        <v>1091</v>
      </c>
      <c r="O14" s="61">
        <v>0</v>
      </c>
      <c r="P14" s="61">
        <f>INT(O14*F342)</f>
        <v>0</v>
      </c>
      <c r="Q14" s="61">
        <v>0</v>
      </c>
      <c r="R14" s="61">
        <f>INT(Q14*F342)</f>
        <v>0</v>
      </c>
      <c r="S14" s="61">
        <v>0</v>
      </c>
      <c r="T14" s="61">
        <f>INT(S14*F342)</f>
        <v>0</v>
      </c>
      <c r="U14" s="61">
        <v>2326</v>
      </c>
      <c r="V14" s="61">
        <f>INT(U14*F342)-1</f>
        <v>2500</v>
      </c>
      <c r="W14" s="61">
        <v>0</v>
      </c>
      <c r="X14" s="61">
        <f>INT(W14*F342)</f>
        <v>0</v>
      </c>
      <c r="Y14" s="61">
        <v>2617</v>
      </c>
      <c r="Z14" s="61">
        <v>0</v>
      </c>
      <c r="AA14" s="61">
        <v>0</v>
      </c>
      <c r="AB14" s="61">
        <v>1</v>
      </c>
      <c r="AC14" s="61">
        <v>0</v>
      </c>
      <c r="AD14" s="61">
        <v>0</v>
      </c>
      <c r="AE14" s="61">
        <v>0</v>
      </c>
      <c r="AF14" s="61">
        <v>0</v>
      </c>
      <c r="AG14" s="61">
        <v>0</v>
      </c>
      <c r="AH14" s="61">
        <v>0</v>
      </c>
      <c r="AI14" s="61">
        <v>0</v>
      </c>
      <c r="AJ14" s="61"/>
      <c r="AK14" s="61"/>
      <c r="AL14" s="61"/>
      <c r="AM14" s="61"/>
      <c r="AN14" s="61"/>
      <c r="AO14" s="61"/>
      <c r="AP14" s="61" t="s">
        <v>448</v>
      </c>
      <c r="AQ14" s="61">
        <v>6</v>
      </c>
      <c r="AR14" s="61" t="s">
        <v>449</v>
      </c>
      <c r="AS14" s="61">
        <v>1</v>
      </c>
      <c r="AT14" s="61" t="s">
        <v>450</v>
      </c>
      <c r="AU14" s="61" t="s">
        <v>450</v>
      </c>
      <c r="AV14" s="61" t="s">
        <v>450</v>
      </c>
      <c r="AW14" s="61">
        <v>2690</v>
      </c>
      <c r="AX14" s="61">
        <v>0</v>
      </c>
      <c r="AY14" s="61">
        <v>0</v>
      </c>
      <c r="AZ14" s="61">
        <v>0</v>
      </c>
      <c r="BA14" s="61" t="s">
        <v>453</v>
      </c>
      <c r="BB14" s="61" t="s">
        <v>455</v>
      </c>
      <c r="BC14" s="61" t="s">
        <v>487</v>
      </c>
      <c r="BD14" s="61" t="s">
        <v>490</v>
      </c>
      <c r="BE14" s="61" t="s">
        <v>456</v>
      </c>
      <c r="BF14" s="61" t="s">
        <v>456</v>
      </c>
      <c r="BG14" s="61" t="s">
        <v>456</v>
      </c>
      <c r="BH14" s="61" t="s">
        <v>456</v>
      </c>
      <c r="BI14" s="61" t="s">
        <v>456</v>
      </c>
      <c r="BJ14" s="61" t="s">
        <v>456</v>
      </c>
      <c r="BK14" s="61" t="s">
        <v>456</v>
      </c>
      <c r="BL14" s="61" t="s">
        <v>456</v>
      </c>
      <c r="BM14" s="61">
        <v>2115</v>
      </c>
      <c r="BN14" s="61">
        <v>1493</v>
      </c>
      <c r="BO14" s="61">
        <v>2580</v>
      </c>
      <c r="BP14" s="61">
        <v>1358</v>
      </c>
      <c r="BQ14" s="61">
        <v>0</v>
      </c>
      <c r="BR14" s="61">
        <v>0</v>
      </c>
      <c r="BS14" s="61">
        <v>0</v>
      </c>
      <c r="BT14" s="61">
        <v>0</v>
      </c>
      <c r="BU14" s="61">
        <v>0</v>
      </c>
      <c r="BV14" s="61">
        <v>0</v>
      </c>
      <c r="BW14" s="61">
        <v>0</v>
      </c>
      <c r="BX14" s="61">
        <v>0</v>
      </c>
      <c r="BY14" s="61" t="s">
        <v>456</v>
      </c>
      <c r="BZ14" s="61" t="s">
        <v>456</v>
      </c>
      <c r="CA14" s="61" t="s">
        <v>456</v>
      </c>
      <c r="CB14" s="61"/>
      <c r="CC14" s="61">
        <v>0</v>
      </c>
      <c r="CD14" s="61">
        <v>0</v>
      </c>
      <c r="CE14" s="61">
        <v>0</v>
      </c>
      <c r="CF14" s="61"/>
      <c r="CG14" s="61" t="s">
        <v>449</v>
      </c>
    </row>
    <row r="15" s="52" customFormat="1" ht="13.5" spans="1:85">
      <c r="A15" s="61" t="s">
        <v>51</v>
      </c>
      <c r="B15" s="61" t="s">
        <v>491</v>
      </c>
      <c r="C15" s="61">
        <v>12450</v>
      </c>
      <c r="D15" s="61"/>
      <c r="E15" s="61" t="s">
        <v>492</v>
      </c>
      <c r="F15" s="61" t="b">
        <f>IF(COUNTIF(按提示输入属性!D18,E15)&gt;0,TRUE,FALSE)</f>
        <v>0</v>
      </c>
      <c r="G15" s="61"/>
      <c r="H15" s="61"/>
      <c r="I15" s="61"/>
      <c r="J15" s="61"/>
      <c r="K15" s="61">
        <v>522</v>
      </c>
      <c r="L15" s="61">
        <f>INT(K15*F342)</f>
        <v>561</v>
      </c>
      <c r="M15" s="61">
        <v>1015</v>
      </c>
      <c r="N15" s="61">
        <f>INT(M15*F342)</f>
        <v>1091</v>
      </c>
      <c r="O15" s="61">
        <v>2617</v>
      </c>
      <c r="P15" s="61">
        <f>INT(O15*F342)</f>
        <v>2813</v>
      </c>
      <c r="Q15" s="61">
        <v>0</v>
      </c>
      <c r="R15" s="61">
        <f>INT(Q15*F342)</f>
        <v>0</v>
      </c>
      <c r="S15" s="61">
        <v>0</v>
      </c>
      <c r="T15" s="61">
        <f>INT(S15*F342)</f>
        <v>0</v>
      </c>
      <c r="U15" s="61">
        <v>0</v>
      </c>
      <c r="V15" s="61">
        <f>INT(U15*F342)</f>
        <v>0</v>
      </c>
      <c r="W15" s="61">
        <v>2326</v>
      </c>
      <c r="X15" s="61">
        <f>INT(W15*F342)-1</f>
        <v>2500</v>
      </c>
      <c r="Y15" s="61">
        <v>0</v>
      </c>
      <c r="Z15" s="61">
        <v>0</v>
      </c>
      <c r="AA15" s="61">
        <v>0</v>
      </c>
      <c r="AB15" s="61">
        <v>0</v>
      </c>
      <c r="AC15" s="61">
        <v>0</v>
      </c>
      <c r="AD15" s="61">
        <v>1</v>
      </c>
      <c r="AE15" s="61">
        <v>0</v>
      </c>
      <c r="AF15" s="61">
        <v>0</v>
      </c>
      <c r="AG15" s="61">
        <v>0</v>
      </c>
      <c r="AH15" s="61">
        <v>0</v>
      </c>
      <c r="AI15" s="61">
        <v>0</v>
      </c>
      <c r="AJ15" s="61"/>
      <c r="AK15" s="61"/>
      <c r="AL15" s="61"/>
      <c r="AM15" s="61"/>
      <c r="AN15" s="61"/>
      <c r="AO15" s="61"/>
      <c r="AP15" s="61" t="s">
        <v>460</v>
      </c>
      <c r="AQ15" s="61">
        <v>6</v>
      </c>
      <c r="AR15" s="61" t="s">
        <v>449</v>
      </c>
      <c r="AS15" s="61">
        <v>1</v>
      </c>
      <c r="AT15" s="61" t="s">
        <v>450</v>
      </c>
      <c r="AU15" s="61" t="s">
        <v>450</v>
      </c>
      <c r="AV15" s="61" t="s">
        <v>450</v>
      </c>
      <c r="AW15" s="61">
        <v>2690</v>
      </c>
      <c r="AX15" s="61">
        <v>0</v>
      </c>
      <c r="AY15" s="61">
        <v>0</v>
      </c>
      <c r="AZ15" s="61">
        <v>0</v>
      </c>
      <c r="BA15" s="61" t="s">
        <v>453</v>
      </c>
      <c r="BB15" s="61" t="s">
        <v>454</v>
      </c>
      <c r="BC15" s="61" t="s">
        <v>462</v>
      </c>
      <c r="BD15" s="61" t="s">
        <v>456</v>
      </c>
      <c r="BE15" s="61" t="s">
        <v>456</v>
      </c>
      <c r="BF15" s="61" t="s">
        <v>456</v>
      </c>
      <c r="BG15" s="61" t="s">
        <v>456</v>
      </c>
      <c r="BH15" s="61" t="s">
        <v>456</v>
      </c>
      <c r="BI15" s="61" t="s">
        <v>456</v>
      </c>
      <c r="BJ15" s="61" t="s">
        <v>456</v>
      </c>
      <c r="BK15" s="61" t="s">
        <v>456</v>
      </c>
      <c r="BL15" s="61" t="s">
        <v>456</v>
      </c>
      <c r="BM15" s="61">
        <v>2115</v>
      </c>
      <c r="BN15" s="61">
        <v>2715</v>
      </c>
      <c r="BO15" s="61">
        <v>2851</v>
      </c>
      <c r="BP15" s="61">
        <v>0</v>
      </c>
      <c r="BQ15" s="61">
        <v>0</v>
      </c>
      <c r="BR15" s="61">
        <v>0</v>
      </c>
      <c r="BS15" s="61">
        <v>0</v>
      </c>
      <c r="BT15" s="61">
        <v>0</v>
      </c>
      <c r="BU15" s="61">
        <v>0</v>
      </c>
      <c r="BV15" s="61">
        <v>0</v>
      </c>
      <c r="BW15" s="61">
        <v>0</v>
      </c>
      <c r="BX15" s="61">
        <v>0</v>
      </c>
      <c r="BY15" s="61" t="s">
        <v>456</v>
      </c>
      <c r="BZ15" s="61" t="s">
        <v>456</v>
      </c>
      <c r="CA15" s="61" t="s">
        <v>456</v>
      </c>
      <c r="CB15" s="61"/>
      <c r="CC15" s="61">
        <v>0</v>
      </c>
      <c r="CD15" s="61">
        <v>0</v>
      </c>
      <c r="CE15" s="61">
        <v>0</v>
      </c>
      <c r="CF15" s="61"/>
      <c r="CG15" s="61" t="s">
        <v>449</v>
      </c>
    </row>
    <row r="16" s="52" customFormat="1" ht="13.5" spans="1:85">
      <c r="A16" s="61" t="s">
        <v>51</v>
      </c>
      <c r="B16" s="61" t="s">
        <v>493</v>
      </c>
      <c r="C16" s="61">
        <v>12450</v>
      </c>
      <c r="D16" s="61"/>
      <c r="E16" s="61" t="s">
        <v>494</v>
      </c>
      <c r="F16" s="61" t="b">
        <f>IF(COUNTIF(按提示输入属性!D18,E16)&gt;0,TRUE,FALSE)</f>
        <v>0</v>
      </c>
      <c r="G16" s="61"/>
      <c r="H16" s="61"/>
      <c r="I16" s="61"/>
      <c r="J16" s="61"/>
      <c r="K16" s="61">
        <v>522</v>
      </c>
      <c r="L16" s="61">
        <f>INT(K16*F342)</f>
        <v>561</v>
      </c>
      <c r="M16" s="61">
        <v>1015</v>
      </c>
      <c r="N16" s="61">
        <f>INT(M16*F342)</f>
        <v>1091</v>
      </c>
      <c r="O16" s="61">
        <v>0</v>
      </c>
      <c r="P16" s="61">
        <f>INT(O16*F342)</f>
        <v>0</v>
      </c>
      <c r="Q16" s="61">
        <v>0</v>
      </c>
      <c r="R16" s="61">
        <f>INT(Q16*F342)</f>
        <v>0</v>
      </c>
      <c r="S16" s="61">
        <v>2617</v>
      </c>
      <c r="T16" s="61">
        <f>INT(S16*F342)</f>
        <v>2813</v>
      </c>
      <c r="U16" s="61">
        <v>2326</v>
      </c>
      <c r="V16" s="61">
        <f>INT(U16*F342)-1</f>
        <v>2500</v>
      </c>
      <c r="W16" s="61">
        <v>0</v>
      </c>
      <c r="X16" s="61">
        <f>INT(W16*F342)</f>
        <v>0</v>
      </c>
      <c r="Y16" s="61">
        <v>0</v>
      </c>
      <c r="Z16" s="61">
        <v>0</v>
      </c>
      <c r="AA16" s="61">
        <v>0</v>
      </c>
      <c r="AB16" s="61">
        <v>1</v>
      </c>
      <c r="AC16" s="61">
        <v>0</v>
      </c>
      <c r="AD16" s="61">
        <v>0</v>
      </c>
      <c r="AE16" s="61">
        <v>0</v>
      </c>
      <c r="AF16" s="61">
        <v>0</v>
      </c>
      <c r="AG16" s="61">
        <v>0</v>
      </c>
      <c r="AH16" s="61">
        <v>0</v>
      </c>
      <c r="AI16" s="61">
        <v>0</v>
      </c>
      <c r="AJ16" s="61"/>
      <c r="AK16" s="61"/>
      <c r="AL16" s="61"/>
      <c r="AM16" s="61"/>
      <c r="AN16" s="61"/>
      <c r="AO16" s="61"/>
      <c r="AP16" s="61" t="s">
        <v>465</v>
      </c>
      <c r="AQ16" s="61">
        <v>6</v>
      </c>
      <c r="AR16" s="61" t="s">
        <v>449</v>
      </c>
      <c r="AS16" s="61">
        <v>1</v>
      </c>
      <c r="AT16" s="61" t="s">
        <v>450</v>
      </c>
      <c r="AU16" s="61" t="s">
        <v>450</v>
      </c>
      <c r="AV16" s="61" t="s">
        <v>450</v>
      </c>
      <c r="AW16" s="61">
        <v>2690</v>
      </c>
      <c r="AX16" s="61">
        <v>0</v>
      </c>
      <c r="AY16" s="61">
        <v>0</v>
      </c>
      <c r="AZ16" s="61">
        <v>0</v>
      </c>
      <c r="BA16" s="61" t="s">
        <v>451</v>
      </c>
      <c r="BB16" s="61" t="s">
        <v>453</v>
      </c>
      <c r="BC16" s="61" t="s">
        <v>487</v>
      </c>
      <c r="BD16" s="61" t="s">
        <v>462</v>
      </c>
      <c r="BE16" s="61" t="s">
        <v>456</v>
      </c>
      <c r="BF16" s="61" t="s">
        <v>456</v>
      </c>
      <c r="BG16" s="61" t="s">
        <v>456</v>
      </c>
      <c r="BH16" s="61" t="s">
        <v>456</v>
      </c>
      <c r="BI16" s="61" t="s">
        <v>456</v>
      </c>
      <c r="BJ16" s="61" t="s">
        <v>456</v>
      </c>
      <c r="BK16" s="61" t="s">
        <v>456</v>
      </c>
      <c r="BL16" s="61" t="s">
        <v>456</v>
      </c>
      <c r="BM16" s="61">
        <v>2512</v>
      </c>
      <c r="BN16" s="61">
        <v>1750</v>
      </c>
      <c r="BO16" s="61">
        <v>1765</v>
      </c>
      <c r="BP16" s="61">
        <v>4344</v>
      </c>
      <c r="BQ16" s="61">
        <v>0</v>
      </c>
      <c r="BR16" s="61">
        <v>0</v>
      </c>
      <c r="BS16" s="61">
        <v>0</v>
      </c>
      <c r="BT16" s="61">
        <v>0</v>
      </c>
      <c r="BU16" s="61">
        <v>0</v>
      </c>
      <c r="BV16" s="61">
        <v>0</v>
      </c>
      <c r="BW16" s="61">
        <v>0</v>
      </c>
      <c r="BX16" s="61">
        <v>0</v>
      </c>
      <c r="BY16" s="61" t="s">
        <v>456</v>
      </c>
      <c r="BZ16" s="61" t="s">
        <v>456</v>
      </c>
      <c r="CA16" s="61" t="s">
        <v>456</v>
      </c>
      <c r="CB16" s="61"/>
      <c r="CC16" s="61">
        <v>0</v>
      </c>
      <c r="CD16" s="61">
        <v>0</v>
      </c>
      <c r="CE16" s="61">
        <v>0</v>
      </c>
      <c r="CF16" s="61"/>
      <c r="CG16" s="61" t="s">
        <v>449</v>
      </c>
    </row>
    <row r="17" s="52" customFormat="1" ht="13.5" spans="1:85">
      <c r="A17" s="61" t="s">
        <v>51</v>
      </c>
      <c r="B17" s="61" t="s">
        <v>495</v>
      </c>
      <c r="C17" s="61">
        <v>12450</v>
      </c>
      <c r="D17" s="61"/>
      <c r="E17" s="61" t="s">
        <v>496</v>
      </c>
      <c r="F17" s="61" t="b">
        <f>IF(COUNTIF(按提示输入属性!D18,E17)&gt;0,TRUE,FALSE)</f>
        <v>0</v>
      </c>
      <c r="G17" s="61"/>
      <c r="H17" s="61"/>
      <c r="I17" s="61"/>
      <c r="J17" s="61"/>
      <c r="K17" s="61">
        <v>522</v>
      </c>
      <c r="L17" s="61">
        <f>INT(K17*F342)</f>
        <v>561</v>
      </c>
      <c r="M17" s="61">
        <v>1015</v>
      </c>
      <c r="N17" s="61">
        <f>INT(M17*F342)</f>
        <v>1091</v>
      </c>
      <c r="O17" s="61">
        <v>2617</v>
      </c>
      <c r="P17" s="61">
        <f>INT(O17*F342)</f>
        <v>2813</v>
      </c>
      <c r="Q17" s="61">
        <v>0</v>
      </c>
      <c r="R17" s="61">
        <f>INT(Q17*F342)</f>
        <v>0</v>
      </c>
      <c r="S17" s="61">
        <v>0</v>
      </c>
      <c r="T17" s="61">
        <f>INT(S17*F342)</f>
        <v>0</v>
      </c>
      <c r="U17" s="61">
        <v>2326</v>
      </c>
      <c r="V17" s="61">
        <f>INT(U17*F342)-1</f>
        <v>2500</v>
      </c>
      <c r="W17" s="61">
        <v>0</v>
      </c>
      <c r="X17" s="61">
        <f>INT(W17*F342)</f>
        <v>0</v>
      </c>
      <c r="Y17" s="61">
        <v>0</v>
      </c>
      <c r="Z17" s="61">
        <v>0</v>
      </c>
      <c r="AA17" s="61">
        <v>0</v>
      </c>
      <c r="AB17" s="61">
        <v>1</v>
      </c>
      <c r="AC17" s="61">
        <v>0</v>
      </c>
      <c r="AD17" s="61">
        <v>0</v>
      </c>
      <c r="AE17" s="61">
        <v>0</v>
      </c>
      <c r="AF17" s="61">
        <v>0</v>
      </c>
      <c r="AG17" s="61">
        <v>0</v>
      </c>
      <c r="AH17" s="61">
        <v>0</v>
      </c>
      <c r="AI17" s="61">
        <v>0</v>
      </c>
      <c r="AJ17" s="61"/>
      <c r="AK17" s="61"/>
      <c r="AL17" s="61"/>
      <c r="AM17" s="61"/>
      <c r="AN17" s="61"/>
      <c r="AO17" s="61"/>
      <c r="AP17" s="61" t="s">
        <v>468</v>
      </c>
      <c r="AQ17" s="61">
        <v>6</v>
      </c>
      <c r="AR17" s="61" t="s">
        <v>469</v>
      </c>
      <c r="AS17" s="61">
        <v>1</v>
      </c>
      <c r="AT17" s="61" t="s">
        <v>450</v>
      </c>
      <c r="AU17" s="61" t="s">
        <v>450</v>
      </c>
      <c r="AV17" s="61" t="s">
        <v>450</v>
      </c>
      <c r="AW17" s="61">
        <v>2690</v>
      </c>
      <c r="AX17" s="61">
        <v>0</v>
      </c>
      <c r="AY17" s="61">
        <v>0</v>
      </c>
      <c r="AZ17" s="61">
        <v>0</v>
      </c>
      <c r="BA17" s="61" t="s">
        <v>451</v>
      </c>
      <c r="BB17" s="61" t="s">
        <v>453</v>
      </c>
      <c r="BC17" s="61" t="s">
        <v>455</v>
      </c>
      <c r="BD17" s="61" t="s">
        <v>454</v>
      </c>
      <c r="BE17" s="61" t="s">
        <v>456</v>
      </c>
      <c r="BF17" s="61" t="s">
        <v>456</v>
      </c>
      <c r="BG17" s="61" t="s">
        <v>456</v>
      </c>
      <c r="BH17" s="61" t="s">
        <v>456</v>
      </c>
      <c r="BI17" s="61" t="s">
        <v>456</v>
      </c>
      <c r="BJ17" s="61" t="s">
        <v>456</v>
      </c>
      <c r="BK17" s="61" t="s">
        <v>456</v>
      </c>
      <c r="BL17" s="61" t="s">
        <v>456</v>
      </c>
      <c r="BM17" s="61">
        <v>2512</v>
      </c>
      <c r="BN17" s="61">
        <v>2042</v>
      </c>
      <c r="BO17" s="61">
        <v>2851</v>
      </c>
      <c r="BP17" s="61">
        <v>2580</v>
      </c>
      <c r="BQ17" s="61">
        <v>0</v>
      </c>
      <c r="BR17" s="61">
        <v>0</v>
      </c>
      <c r="BS17" s="61">
        <v>0</v>
      </c>
      <c r="BT17" s="61">
        <v>0</v>
      </c>
      <c r="BU17" s="61">
        <v>0</v>
      </c>
      <c r="BV17" s="61">
        <v>0</v>
      </c>
      <c r="BW17" s="61">
        <v>0</v>
      </c>
      <c r="BX17" s="61">
        <v>0</v>
      </c>
      <c r="BY17" s="61" t="s">
        <v>456</v>
      </c>
      <c r="BZ17" s="61" t="s">
        <v>456</v>
      </c>
      <c r="CA17" s="61" t="s">
        <v>456</v>
      </c>
      <c r="CB17" s="61"/>
      <c r="CC17" s="61">
        <v>0</v>
      </c>
      <c r="CD17" s="61">
        <v>0</v>
      </c>
      <c r="CE17" s="61">
        <v>0</v>
      </c>
      <c r="CF17" s="61"/>
      <c r="CG17" s="61" t="s">
        <v>449</v>
      </c>
    </row>
    <row r="18" s="52" customFormat="1" ht="13.5" spans="1:85">
      <c r="A18" s="61" t="s">
        <v>51</v>
      </c>
      <c r="B18" s="61" t="s">
        <v>497</v>
      </c>
      <c r="C18" s="61">
        <v>12450</v>
      </c>
      <c r="D18" s="61"/>
      <c r="E18" s="61" t="s">
        <v>498</v>
      </c>
      <c r="F18" s="61" t="b">
        <f>IF(COUNTIF(按提示输入属性!D18,E18)&gt;0,TRUE,FALSE)</f>
        <v>0</v>
      </c>
      <c r="G18" s="61"/>
      <c r="H18" s="61"/>
      <c r="I18" s="61"/>
      <c r="J18" s="61"/>
      <c r="K18" s="61">
        <v>522</v>
      </c>
      <c r="L18" s="61">
        <f>INT(K18*F342)</f>
        <v>561</v>
      </c>
      <c r="M18" s="61">
        <v>1015</v>
      </c>
      <c r="N18" s="61">
        <f>INT(M18*F342)</f>
        <v>1091</v>
      </c>
      <c r="O18" s="61">
        <v>2617</v>
      </c>
      <c r="P18" s="61">
        <f>INT(O18*F342)</f>
        <v>2813</v>
      </c>
      <c r="Q18" s="61">
        <v>0</v>
      </c>
      <c r="R18" s="61">
        <f>INT(Q18*F342)</f>
        <v>0</v>
      </c>
      <c r="S18" s="61">
        <v>0</v>
      </c>
      <c r="T18" s="61">
        <f>INT(S18*F342)</f>
        <v>0</v>
      </c>
      <c r="U18" s="61">
        <v>0</v>
      </c>
      <c r="V18" s="61">
        <f>INT(U18*F342)</f>
        <v>0</v>
      </c>
      <c r="W18" s="61">
        <v>2326</v>
      </c>
      <c r="X18" s="61">
        <f>INT(W18*F342)-1</f>
        <v>2500</v>
      </c>
      <c r="Y18" s="61">
        <v>0</v>
      </c>
      <c r="Z18" s="61">
        <v>0</v>
      </c>
      <c r="AA18" s="61">
        <v>0</v>
      </c>
      <c r="AB18" s="61">
        <v>0</v>
      </c>
      <c r="AC18" s="61">
        <v>0</v>
      </c>
      <c r="AD18" s="61">
        <v>1</v>
      </c>
      <c r="AE18" s="61">
        <v>0</v>
      </c>
      <c r="AF18" s="61">
        <v>0</v>
      </c>
      <c r="AG18" s="61">
        <v>0</v>
      </c>
      <c r="AH18" s="61">
        <v>0</v>
      </c>
      <c r="AI18" s="61">
        <v>0</v>
      </c>
      <c r="AJ18" s="61"/>
      <c r="AK18" s="61"/>
      <c r="AL18" s="61"/>
      <c r="AM18" s="61"/>
      <c r="AN18" s="61"/>
      <c r="AO18" s="61"/>
      <c r="AP18" s="61" t="s">
        <v>460</v>
      </c>
      <c r="AQ18" s="61">
        <v>6</v>
      </c>
      <c r="AR18" s="61" t="s">
        <v>499</v>
      </c>
      <c r="AS18" s="61">
        <v>1</v>
      </c>
      <c r="AT18" s="61" t="s">
        <v>450</v>
      </c>
      <c r="AU18" s="61" t="s">
        <v>450</v>
      </c>
      <c r="AV18" s="61" t="s">
        <v>450</v>
      </c>
      <c r="AW18" s="61">
        <v>2690</v>
      </c>
      <c r="AX18" s="61">
        <v>0</v>
      </c>
      <c r="AY18" s="61">
        <v>0</v>
      </c>
      <c r="AZ18" s="61">
        <v>0</v>
      </c>
      <c r="BA18" s="61" t="s">
        <v>451</v>
      </c>
      <c r="BB18" s="61" t="s">
        <v>452</v>
      </c>
      <c r="BC18" s="61" t="s">
        <v>453</v>
      </c>
      <c r="BD18" s="61" t="s">
        <v>454</v>
      </c>
      <c r="BE18" s="61" t="s">
        <v>462</v>
      </c>
      <c r="BF18" s="61" t="s">
        <v>456</v>
      </c>
      <c r="BG18" s="61" t="s">
        <v>456</v>
      </c>
      <c r="BH18" s="61" t="s">
        <v>456</v>
      </c>
      <c r="BI18" s="61" t="s">
        <v>456</v>
      </c>
      <c r="BJ18" s="61" t="s">
        <v>456</v>
      </c>
      <c r="BK18" s="61" t="s">
        <v>456</v>
      </c>
      <c r="BL18" s="61" t="s">
        <v>456</v>
      </c>
      <c r="BM18" s="61">
        <v>2512</v>
      </c>
      <c r="BN18" s="61">
        <v>487</v>
      </c>
      <c r="BO18" s="61">
        <v>948</v>
      </c>
      <c r="BP18" s="61">
        <v>2444</v>
      </c>
      <c r="BQ18" s="61">
        <v>2172</v>
      </c>
      <c r="BR18" s="61">
        <v>0</v>
      </c>
      <c r="BS18" s="61">
        <v>0</v>
      </c>
      <c r="BT18" s="61">
        <v>0</v>
      </c>
      <c r="BU18" s="61">
        <v>0</v>
      </c>
      <c r="BV18" s="61">
        <v>0</v>
      </c>
      <c r="BW18" s="61">
        <v>0</v>
      </c>
      <c r="BX18" s="61">
        <v>0</v>
      </c>
      <c r="BY18" s="61" t="s">
        <v>456</v>
      </c>
      <c r="BZ18" s="61" t="s">
        <v>456</v>
      </c>
      <c r="CA18" s="61" t="s">
        <v>456</v>
      </c>
      <c r="CB18" s="61"/>
      <c r="CC18" s="61">
        <v>0</v>
      </c>
      <c r="CD18" s="61">
        <v>0</v>
      </c>
      <c r="CE18" s="61">
        <v>0</v>
      </c>
      <c r="CF18" s="61"/>
      <c r="CG18" s="61" t="s">
        <v>500</v>
      </c>
    </row>
    <row r="19" s="52" customFormat="1" ht="13.5" spans="1:8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>
        <f>INT(K19*F342)</f>
        <v>0</v>
      </c>
      <c r="M19" s="61"/>
      <c r="N19" s="61">
        <f>INT(M19*F342)</f>
        <v>0</v>
      </c>
      <c r="O19" s="61"/>
      <c r="P19" s="61">
        <f>INT(O19*F342)</f>
        <v>0</v>
      </c>
      <c r="Q19" s="61"/>
      <c r="R19" s="61">
        <f>INT(Q19*F342)</f>
        <v>0</v>
      </c>
      <c r="S19" s="61"/>
      <c r="T19" s="61">
        <f>INT(S19*F342)</f>
        <v>0</v>
      </c>
      <c r="U19" s="61"/>
      <c r="V19" s="61">
        <f>INT(U19*F342)</f>
        <v>0</v>
      </c>
      <c r="W19" s="61"/>
      <c r="X19" s="61">
        <f>INT(W19*F342)</f>
        <v>0</v>
      </c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</row>
    <row r="20" s="52" customFormat="1" ht="13.5" spans="1:85">
      <c r="A20" s="61" t="s">
        <v>29</v>
      </c>
      <c r="B20" s="61" t="s">
        <v>501</v>
      </c>
      <c r="C20" s="61">
        <v>14150</v>
      </c>
      <c r="D20" s="61"/>
      <c r="E20" s="61" t="s">
        <v>502</v>
      </c>
      <c r="F20" s="61" t="b">
        <f>IF(COUNTIF(按提示输入属性!D11,E20)&gt;0,TRUE,FALSE)</f>
        <v>0</v>
      </c>
      <c r="G20" s="61"/>
      <c r="H20" s="61"/>
      <c r="I20" s="61"/>
      <c r="J20" s="61"/>
      <c r="K20" s="61">
        <v>692</v>
      </c>
      <c r="L20" s="61">
        <f>INT(K20*F342)</f>
        <v>744</v>
      </c>
      <c r="M20" s="61">
        <v>1346</v>
      </c>
      <c r="N20" s="61">
        <f>INT(M20*F342)</f>
        <v>1447</v>
      </c>
      <c r="O20" s="61">
        <v>0</v>
      </c>
      <c r="P20" s="61">
        <f>INT(O20*F342)</f>
        <v>0</v>
      </c>
      <c r="Q20" s="61">
        <v>0</v>
      </c>
      <c r="R20" s="61">
        <f>INT(Q20*F342)</f>
        <v>0</v>
      </c>
      <c r="S20" s="61">
        <v>3470</v>
      </c>
      <c r="T20" s="61">
        <f>INT(S20*F342)</f>
        <v>3731</v>
      </c>
      <c r="U20" s="61">
        <v>3085</v>
      </c>
      <c r="V20" s="61">
        <f>INT(U20*F342)</f>
        <v>3317</v>
      </c>
      <c r="W20" s="61">
        <v>0</v>
      </c>
      <c r="X20" s="61">
        <f>INT(W20*F342)</f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1</v>
      </c>
      <c r="AD20" s="61">
        <v>0</v>
      </c>
      <c r="AE20" s="61">
        <v>0</v>
      </c>
      <c r="AF20" s="61">
        <v>1</v>
      </c>
      <c r="AG20" s="61">
        <v>0</v>
      </c>
      <c r="AH20" s="61">
        <v>0</v>
      </c>
      <c r="AI20" s="61">
        <v>0</v>
      </c>
      <c r="AJ20" s="61"/>
      <c r="AK20" s="61">
        <v>1</v>
      </c>
      <c r="AL20" s="61"/>
      <c r="AM20" s="61"/>
      <c r="AN20" s="61"/>
      <c r="AO20" s="61"/>
      <c r="AP20" s="61" t="s">
        <v>465</v>
      </c>
      <c r="AQ20" s="61">
        <v>6</v>
      </c>
      <c r="AR20" s="61" t="s">
        <v>503</v>
      </c>
      <c r="AS20" s="61">
        <v>1</v>
      </c>
      <c r="AT20" s="61" t="s">
        <v>450</v>
      </c>
      <c r="AU20" s="61" t="s">
        <v>450</v>
      </c>
      <c r="AV20" s="61" t="s">
        <v>450</v>
      </c>
      <c r="AW20" s="61">
        <v>3567</v>
      </c>
      <c r="AX20" s="61">
        <v>0</v>
      </c>
      <c r="AY20" s="61">
        <v>0</v>
      </c>
      <c r="AZ20" s="61">
        <v>0</v>
      </c>
      <c r="BA20" s="61" t="s">
        <v>453</v>
      </c>
      <c r="BB20" s="61" t="s">
        <v>487</v>
      </c>
      <c r="BC20" s="61" t="s">
        <v>456</v>
      </c>
      <c r="BD20" s="61" t="s">
        <v>456</v>
      </c>
      <c r="BE20" s="61" t="s">
        <v>456</v>
      </c>
      <c r="BF20" s="61" t="s">
        <v>456</v>
      </c>
      <c r="BG20" s="61" t="s">
        <v>456</v>
      </c>
      <c r="BH20" s="61" t="s">
        <v>456</v>
      </c>
      <c r="BI20" s="61" t="s">
        <v>456</v>
      </c>
      <c r="BJ20" s="61" t="s">
        <v>456</v>
      </c>
      <c r="BK20" s="61" t="s">
        <v>456</v>
      </c>
      <c r="BL20" s="61" t="s">
        <v>456</v>
      </c>
      <c r="BM20" s="61">
        <v>2409</v>
      </c>
      <c r="BN20" s="61">
        <v>4681</v>
      </c>
      <c r="BO20" s="61">
        <v>0</v>
      </c>
      <c r="BP20" s="61">
        <v>0</v>
      </c>
      <c r="BQ20" s="61">
        <v>0</v>
      </c>
      <c r="BR20" s="61">
        <v>0</v>
      </c>
      <c r="BS20" s="61">
        <v>0</v>
      </c>
      <c r="BT20" s="61">
        <v>0</v>
      </c>
      <c r="BU20" s="61">
        <v>0</v>
      </c>
      <c r="BV20" s="61">
        <v>0</v>
      </c>
      <c r="BW20" s="61">
        <v>0</v>
      </c>
      <c r="BX20" s="61">
        <v>0</v>
      </c>
      <c r="BY20" s="61" t="s">
        <v>490</v>
      </c>
      <c r="BZ20" s="61" t="s">
        <v>490</v>
      </c>
      <c r="CA20" s="61" t="s">
        <v>456</v>
      </c>
      <c r="CB20" s="61"/>
      <c r="CC20" s="61">
        <v>1</v>
      </c>
      <c r="CD20" s="61">
        <v>1</v>
      </c>
      <c r="CE20" s="61">
        <v>0</v>
      </c>
      <c r="CF20" s="61"/>
      <c r="CG20" s="61" t="s">
        <v>473</v>
      </c>
    </row>
    <row r="21" s="52" customFormat="1" ht="13.5" spans="1:85">
      <c r="A21" s="61" t="s">
        <v>29</v>
      </c>
      <c r="B21" s="61" t="s">
        <v>504</v>
      </c>
      <c r="C21" s="61">
        <v>13950</v>
      </c>
      <c r="D21" s="61"/>
      <c r="E21" s="61" t="s">
        <v>505</v>
      </c>
      <c r="F21" s="61" t="b">
        <f>IF(COUNTIF(按提示输入属性!D11,E21)&gt;0,TRUE,FALSE)</f>
        <v>0</v>
      </c>
      <c r="G21" s="61"/>
      <c r="H21" s="61"/>
      <c r="I21" s="61"/>
      <c r="J21" s="61"/>
      <c r="K21" s="61">
        <v>682</v>
      </c>
      <c r="L21" s="61">
        <f>INT(K21*F342)</f>
        <v>733</v>
      </c>
      <c r="M21" s="61">
        <v>1327</v>
      </c>
      <c r="N21" s="61">
        <f>INT(M21*F342)</f>
        <v>1426</v>
      </c>
      <c r="O21" s="61">
        <v>3421</v>
      </c>
      <c r="P21" s="61">
        <f>INT(O21*F342)</f>
        <v>3678</v>
      </c>
      <c r="Q21" s="61">
        <v>0</v>
      </c>
      <c r="R21" s="61">
        <f>INT(Q21*F342)</f>
        <v>0</v>
      </c>
      <c r="S21" s="61">
        <v>0</v>
      </c>
      <c r="T21" s="61">
        <f>INT(S21*F342)</f>
        <v>0</v>
      </c>
      <c r="U21" s="61">
        <v>0</v>
      </c>
      <c r="V21" s="61">
        <f>INT(U21*F342)</f>
        <v>0</v>
      </c>
      <c r="W21" s="61">
        <v>3041</v>
      </c>
      <c r="X21" s="61">
        <f>INT(W21*F342)</f>
        <v>3269</v>
      </c>
      <c r="Y21" s="61">
        <v>0</v>
      </c>
      <c r="Z21" s="61">
        <v>0</v>
      </c>
      <c r="AA21" s="61">
        <v>0</v>
      </c>
      <c r="AB21" s="61">
        <v>0</v>
      </c>
      <c r="AC21" s="61">
        <v>1</v>
      </c>
      <c r="AD21" s="61">
        <v>1</v>
      </c>
      <c r="AE21" s="61">
        <v>0</v>
      </c>
      <c r="AF21" s="61">
        <v>0</v>
      </c>
      <c r="AG21" s="61">
        <v>0</v>
      </c>
      <c r="AH21" s="61">
        <v>0</v>
      </c>
      <c r="AI21" s="61">
        <v>0</v>
      </c>
      <c r="AJ21" s="61"/>
      <c r="AK21" s="61"/>
      <c r="AL21" s="61"/>
      <c r="AM21" s="61"/>
      <c r="AN21" s="61"/>
      <c r="AO21" s="61"/>
      <c r="AP21" s="61" t="s">
        <v>460</v>
      </c>
      <c r="AQ21" s="61">
        <v>6</v>
      </c>
      <c r="AR21" s="61" t="s">
        <v>449</v>
      </c>
      <c r="AS21" s="61">
        <v>1</v>
      </c>
      <c r="AT21" s="61" t="s">
        <v>450</v>
      </c>
      <c r="AU21" s="61" t="s">
        <v>450</v>
      </c>
      <c r="AV21" s="61" t="s">
        <v>450</v>
      </c>
      <c r="AW21" s="61">
        <v>3516</v>
      </c>
      <c r="AX21" s="61">
        <v>0</v>
      </c>
      <c r="AY21" s="61">
        <v>0</v>
      </c>
      <c r="AZ21" s="61">
        <v>0</v>
      </c>
      <c r="BA21" s="61" t="s">
        <v>453</v>
      </c>
      <c r="BB21" s="61" t="s">
        <v>487</v>
      </c>
      <c r="BC21" s="61" t="s">
        <v>454</v>
      </c>
      <c r="BD21" s="61" t="s">
        <v>456</v>
      </c>
      <c r="BE21" s="61" t="s">
        <v>456</v>
      </c>
      <c r="BF21" s="61" t="s">
        <v>456</v>
      </c>
      <c r="BG21" s="61" t="s">
        <v>456</v>
      </c>
      <c r="BH21" s="61" t="s">
        <v>456</v>
      </c>
      <c r="BI21" s="61" t="s">
        <v>456</v>
      </c>
      <c r="BJ21" s="61" t="s">
        <v>456</v>
      </c>
      <c r="BK21" s="61" t="s">
        <v>456</v>
      </c>
      <c r="BL21" s="61" t="s">
        <v>456</v>
      </c>
      <c r="BM21" s="61">
        <v>2054</v>
      </c>
      <c r="BN21" s="61">
        <v>2703</v>
      </c>
      <c r="BO21" s="61">
        <v>2703</v>
      </c>
      <c r="BP21" s="61">
        <v>0</v>
      </c>
      <c r="BQ21" s="61">
        <v>0</v>
      </c>
      <c r="BR21" s="61">
        <v>0</v>
      </c>
      <c r="BS21" s="61">
        <v>0</v>
      </c>
      <c r="BT21" s="61">
        <v>0</v>
      </c>
      <c r="BU21" s="61">
        <v>0</v>
      </c>
      <c r="BV21" s="61">
        <v>0</v>
      </c>
      <c r="BW21" s="61">
        <v>0</v>
      </c>
      <c r="BX21" s="61">
        <v>0</v>
      </c>
      <c r="BY21" s="61" t="s">
        <v>455</v>
      </c>
      <c r="BZ21" s="61" t="s">
        <v>455</v>
      </c>
      <c r="CA21" s="61" t="s">
        <v>456</v>
      </c>
      <c r="CB21" s="61"/>
      <c r="CC21" s="61">
        <v>1</v>
      </c>
      <c r="CD21" s="61">
        <v>1</v>
      </c>
      <c r="CE21" s="61">
        <v>0</v>
      </c>
      <c r="CF21" s="61"/>
      <c r="CG21" s="61" t="s">
        <v>473</v>
      </c>
    </row>
    <row r="22" s="52" customFormat="1" ht="13.5" spans="1:85">
      <c r="A22" s="61" t="s">
        <v>29</v>
      </c>
      <c r="B22" s="61" t="s">
        <v>506</v>
      </c>
      <c r="C22" s="61">
        <v>13950</v>
      </c>
      <c r="D22" s="61"/>
      <c r="E22" s="61" t="s">
        <v>507</v>
      </c>
      <c r="F22" s="61" t="b">
        <f>IF(COUNTIF(按提示输入属性!D11,E22)&gt;0,TRUE,FALSE)</f>
        <v>0</v>
      </c>
      <c r="G22" s="61"/>
      <c r="H22" s="61"/>
      <c r="I22" s="61"/>
      <c r="J22" s="61"/>
      <c r="K22" s="61">
        <v>682</v>
      </c>
      <c r="L22" s="61">
        <f>INT(K22*F342)</f>
        <v>733</v>
      </c>
      <c r="M22" s="61">
        <v>1327</v>
      </c>
      <c r="N22" s="61">
        <f>INT(M22*F342)</f>
        <v>1426</v>
      </c>
      <c r="O22" s="61">
        <v>0</v>
      </c>
      <c r="P22" s="61">
        <f>INT(O22*F342)</f>
        <v>0</v>
      </c>
      <c r="Q22" s="61">
        <v>0</v>
      </c>
      <c r="R22" s="61">
        <f>INT(Q22*F342)</f>
        <v>0</v>
      </c>
      <c r="S22" s="61">
        <v>3421</v>
      </c>
      <c r="T22" s="61">
        <f>INT(S22*F342)</f>
        <v>3678</v>
      </c>
      <c r="U22" s="61">
        <v>0</v>
      </c>
      <c r="V22" s="61">
        <f>INT(U22*F342)</f>
        <v>0</v>
      </c>
      <c r="W22" s="61">
        <v>3041</v>
      </c>
      <c r="X22" s="61">
        <f>INT(W22*F342)</f>
        <v>3269</v>
      </c>
      <c r="Y22" s="61">
        <v>0</v>
      </c>
      <c r="Z22" s="61">
        <v>0</v>
      </c>
      <c r="AA22" s="61">
        <v>0</v>
      </c>
      <c r="AB22" s="61">
        <v>1</v>
      </c>
      <c r="AC22" s="61">
        <v>0</v>
      </c>
      <c r="AD22" s="61">
        <v>0</v>
      </c>
      <c r="AE22" s="61">
        <v>0</v>
      </c>
      <c r="AF22" s="61">
        <v>0</v>
      </c>
      <c r="AG22" s="61">
        <v>0</v>
      </c>
      <c r="AH22" s="61">
        <v>1</v>
      </c>
      <c r="AI22" s="61">
        <v>0</v>
      </c>
      <c r="AJ22" s="61"/>
      <c r="AK22" s="61"/>
      <c r="AL22" s="61"/>
      <c r="AM22" s="61"/>
      <c r="AN22" s="61"/>
      <c r="AO22" s="61"/>
      <c r="AP22" s="61" t="s">
        <v>486</v>
      </c>
      <c r="AQ22" s="61">
        <v>6</v>
      </c>
      <c r="AR22" s="61" t="s">
        <v>449</v>
      </c>
      <c r="AS22" s="61">
        <v>1</v>
      </c>
      <c r="AT22" s="61" t="s">
        <v>450</v>
      </c>
      <c r="AU22" s="61" t="s">
        <v>450</v>
      </c>
      <c r="AV22" s="61" t="s">
        <v>450</v>
      </c>
      <c r="AW22" s="61">
        <v>3516</v>
      </c>
      <c r="AX22" s="61">
        <v>0</v>
      </c>
      <c r="AY22" s="61">
        <v>0</v>
      </c>
      <c r="AZ22" s="61">
        <v>0</v>
      </c>
      <c r="BA22" s="61" t="s">
        <v>453</v>
      </c>
      <c r="BB22" s="61" t="s">
        <v>454</v>
      </c>
      <c r="BC22" s="61" t="s">
        <v>487</v>
      </c>
      <c r="BD22" s="61" t="s">
        <v>490</v>
      </c>
      <c r="BE22" s="61" t="s">
        <v>456</v>
      </c>
      <c r="BF22" s="61" t="s">
        <v>456</v>
      </c>
      <c r="BG22" s="61" t="s">
        <v>456</v>
      </c>
      <c r="BH22" s="61" t="s">
        <v>456</v>
      </c>
      <c r="BI22" s="61" t="s">
        <v>456</v>
      </c>
      <c r="BJ22" s="61" t="s">
        <v>456</v>
      </c>
      <c r="BK22" s="61" t="s">
        <v>456</v>
      </c>
      <c r="BL22" s="61" t="s">
        <v>456</v>
      </c>
      <c r="BM22" s="61">
        <v>2054</v>
      </c>
      <c r="BN22" s="61">
        <v>1912</v>
      </c>
      <c r="BO22" s="61">
        <v>2044</v>
      </c>
      <c r="BP22" s="61">
        <v>1319</v>
      </c>
      <c r="BQ22" s="61">
        <v>0</v>
      </c>
      <c r="BR22" s="61">
        <v>0</v>
      </c>
      <c r="BS22" s="61">
        <v>0</v>
      </c>
      <c r="BT22" s="61">
        <v>0</v>
      </c>
      <c r="BU22" s="61">
        <v>0</v>
      </c>
      <c r="BV22" s="61">
        <v>0</v>
      </c>
      <c r="BW22" s="61">
        <v>0</v>
      </c>
      <c r="BX22" s="61">
        <v>0</v>
      </c>
      <c r="BY22" s="61" t="s">
        <v>455</v>
      </c>
      <c r="BZ22" s="61" t="s">
        <v>455</v>
      </c>
      <c r="CA22" s="61" t="s">
        <v>456</v>
      </c>
      <c r="CB22" s="61"/>
      <c r="CC22" s="61">
        <v>1</v>
      </c>
      <c r="CD22" s="61">
        <v>1</v>
      </c>
      <c r="CE22" s="61">
        <v>0</v>
      </c>
      <c r="CF22" s="61"/>
      <c r="CG22" s="61" t="s">
        <v>473</v>
      </c>
    </row>
    <row r="23" s="53" customFormat="1" ht="13.5" spans="1:85">
      <c r="A23" s="62" t="s">
        <v>29</v>
      </c>
      <c r="B23" s="62" t="s">
        <v>508</v>
      </c>
      <c r="C23" s="62">
        <v>13950</v>
      </c>
      <c r="D23" s="62"/>
      <c r="E23" s="62" t="s">
        <v>509</v>
      </c>
      <c r="F23" s="62" t="b">
        <f>IF(COUNTIF(按提示输入属性!D11,E23)&gt;0,TRUE,FALSE)</f>
        <v>0</v>
      </c>
      <c r="G23" s="62"/>
      <c r="H23" s="62"/>
      <c r="I23" s="62"/>
      <c r="J23" s="62"/>
      <c r="K23" s="62">
        <v>0</v>
      </c>
      <c r="L23" s="62">
        <f>INT(K23*F342)</f>
        <v>0</v>
      </c>
      <c r="M23" s="62">
        <v>3472</v>
      </c>
      <c r="N23" s="62">
        <f>INT(M23*F344)</f>
        <v>3555</v>
      </c>
      <c r="O23" s="62">
        <v>6748</v>
      </c>
      <c r="P23" s="62">
        <f>INT(O23*F344)</f>
        <v>6910</v>
      </c>
      <c r="Q23" s="62">
        <v>0</v>
      </c>
      <c r="R23" s="62">
        <f>INT(Q23*F344)</f>
        <v>0</v>
      </c>
      <c r="S23" s="62">
        <v>0</v>
      </c>
      <c r="T23" s="62">
        <f>INT(S23*F344)</f>
        <v>0</v>
      </c>
      <c r="U23" s="62">
        <v>0</v>
      </c>
      <c r="V23" s="62">
        <f>INT(U23*F344)</f>
        <v>0</v>
      </c>
      <c r="W23" s="62">
        <v>0</v>
      </c>
      <c r="X23" s="62">
        <f>INT(W23*F344)</f>
        <v>0</v>
      </c>
      <c r="Y23" s="62">
        <v>0</v>
      </c>
      <c r="Z23" s="62">
        <v>0</v>
      </c>
      <c r="AA23" s="62">
        <v>0</v>
      </c>
      <c r="AB23" s="62">
        <v>0</v>
      </c>
      <c r="AC23" s="62">
        <v>0</v>
      </c>
      <c r="AD23" s="62">
        <v>1</v>
      </c>
      <c r="AE23" s="62">
        <v>1</v>
      </c>
      <c r="AF23" s="62">
        <v>0</v>
      </c>
      <c r="AG23" s="62">
        <v>0</v>
      </c>
      <c r="AH23" s="62">
        <v>0</v>
      </c>
      <c r="AI23" s="62">
        <v>0</v>
      </c>
      <c r="AJ23" s="62"/>
      <c r="AK23" s="62"/>
      <c r="AL23" s="62"/>
      <c r="AM23" s="62"/>
      <c r="AN23" s="62"/>
      <c r="AO23" s="62"/>
      <c r="AP23" s="62" t="s">
        <v>472</v>
      </c>
      <c r="AQ23" s="62">
        <v>3</v>
      </c>
      <c r="AR23" s="62" t="s">
        <v>449</v>
      </c>
      <c r="AS23" s="62">
        <v>1</v>
      </c>
      <c r="AT23" s="62" t="s">
        <v>450</v>
      </c>
      <c r="AU23" s="62" t="s">
        <v>450</v>
      </c>
      <c r="AV23" s="62" t="s">
        <v>450</v>
      </c>
      <c r="AW23" s="62">
        <v>0</v>
      </c>
      <c r="AX23" s="62">
        <v>0</v>
      </c>
      <c r="AY23" s="62">
        <v>0</v>
      </c>
      <c r="AZ23" s="62">
        <v>0</v>
      </c>
      <c r="BA23" s="62" t="s">
        <v>451</v>
      </c>
      <c r="BB23" s="62" t="s">
        <v>452</v>
      </c>
      <c r="BC23" s="62" t="s">
        <v>453</v>
      </c>
      <c r="BD23" s="62" t="s">
        <v>454</v>
      </c>
      <c r="BE23" s="62" t="s">
        <v>455</v>
      </c>
      <c r="BF23" s="62" t="s">
        <v>456</v>
      </c>
      <c r="BG23" s="62" t="s">
        <v>456</v>
      </c>
      <c r="BH23" s="62" t="s">
        <v>456</v>
      </c>
      <c r="BI23" s="62" t="s">
        <v>456</v>
      </c>
      <c r="BJ23" s="62" t="s">
        <v>456</v>
      </c>
      <c r="BK23" s="62" t="s">
        <v>456</v>
      </c>
      <c r="BL23" s="62" t="s">
        <v>456</v>
      </c>
      <c r="BM23" s="62">
        <v>2395</v>
      </c>
      <c r="BN23" s="62">
        <v>464</v>
      </c>
      <c r="BO23" s="62">
        <v>904</v>
      </c>
      <c r="BP23" s="62">
        <v>2330</v>
      </c>
      <c r="BQ23" s="62">
        <v>2071</v>
      </c>
      <c r="BR23" s="62">
        <v>0</v>
      </c>
      <c r="BS23" s="62">
        <v>0</v>
      </c>
      <c r="BT23" s="62">
        <v>0</v>
      </c>
      <c r="BU23" s="62">
        <v>0</v>
      </c>
      <c r="BV23" s="62">
        <v>0</v>
      </c>
      <c r="BW23" s="62">
        <v>0</v>
      </c>
      <c r="BX23" s="62">
        <v>0</v>
      </c>
      <c r="BY23" s="62" t="s">
        <v>453</v>
      </c>
      <c r="BZ23" s="62" t="s">
        <v>453</v>
      </c>
      <c r="CA23" s="62" t="s">
        <v>456</v>
      </c>
      <c r="CB23" s="62"/>
      <c r="CC23" s="62">
        <v>1</v>
      </c>
      <c r="CD23" s="62">
        <v>1</v>
      </c>
      <c r="CE23" s="62">
        <v>0</v>
      </c>
      <c r="CF23" s="62"/>
      <c r="CG23" s="62" t="s">
        <v>458</v>
      </c>
    </row>
    <row r="24" s="53" customFormat="1" ht="13.5" spans="1:85">
      <c r="A24" s="62" t="s">
        <v>29</v>
      </c>
      <c r="B24" s="62" t="s">
        <v>510</v>
      </c>
      <c r="C24" s="62">
        <v>13950</v>
      </c>
      <c r="D24" s="62"/>
      <c r="E24" s="62" t="s">
        <v>511</v>
      </c>
      <c r="F24" s="62" t="b">
        <f>IF(COUNTIF(按提示输入属性!D11,E24)&gt;0,TRUE,FALSE)</f>
        <v>0</v>
      </c>
      <c r="G24" s="62"/>
      <c r="H24" s="62"/>
      <c r="I24" s="62"/>
      <c r="J24" s="62"/>
      <c r="K24" s="62">
        <v>0</v>
      </c>
      <c r="L24" s="62">
        <f>INT(K24*F342)</f>
        <v>0</v>
      </c>
      <c r="M24" s="62">
        <v>2961</v>
      </c>
      <c r="N24" s="62">
        <f>INT(M24*F344)</f>
        <v>3032</v>
      </c>
      <c r="O24" s="62">
        <v>0</v>
      </c>
      <c r="P24" s="61">
        <f>INT(O24*F344)</f>
        <v>0</v>
      </c>
      <c r="Q24" s="62">
        <v>0</v>
      </c>
      <c r="R24" s="61">
        <f>INT(Q24*F344)</f>
        <v>0</v>
      </c>
      <c r="S24" s="62">
        <v>3801</v>
      </c>
      <c r="T24" s="61">
        <f>INT(S24*F344)</f>
        <v>3892</v>
      </c>
      <c r="U24" s="62">
        <v>0</v>
      </c>
      <c r="V24" s="61">
        <f>INT(U24*F344)</f>
        <v>0</v>
      </c>
      <c r="W24" s="62">
        <v>3991</v>
      </c>
      <c r="X24" s="61">
        <f>INT(W24*F344)</f>
        <v>4087</v>
      </c>
      <c r="Y24" s="62">
        <v>0</v>
      </c>
      <c r="Z24" s="62">
        <v>0</v>
      </c>
      <c r="AA24" s="62">
        <v>0</v>
      </c>
      <c r="AB24" s="62">
        <v>0</v>
      </c>
      <c r="AC24" s="62">
        <v>1</v>
      </c>
      <c r="AD24" s="62">
        <v>0</v>
      </c>
      <c r="AE24" s="62">
        <v>0</v>
      </c>
      <c r="AF24" s="62">
        <v>0</v>
      </c>
      <c r="AG24" s="62">
        <v>1</v>
      </c>
      <c r="AH24" s="62">
        <v>0</v>
      </c>
      <c r="AI24" s="62">
        <v>0</v>
      </c>
      <c r="AJ24" s="62"/>
      <c r="AK24" s="62"/>
      <c r="AL24" s="62"/>
      <c r="AM24" s="62"/>
      <c r="AN24" s="62"/>
      <c r="AO24" s="62"/>
      <c r="AP24" s="62" t="s">
        <v>512</v>
      </c>
      <c r="AQ24" s="62">
        <v>3</v>
      </c>
      <c r="AR24" s="62" t="s">
        <v>449</v>
      </c>
      <c r="AS24" s="62">
        <v>1</v>
      </c>
      <c r="AT24" s="62" t="s">
        <v>450</v>
      </c>
      <c r="AU24" s="62" t="s">
        <v>450</v>
      </c>
      <c r="AV24" s="62" t="s">
        <v>450</v>
      </c>
      <c r="AW24" s="62">
        <v>0</v>
      </c>
      <c r="AX24" s="62">
        <v>0</v>
      </c>
      <c r="AY24" s="62">
        <v>0</v>
      </c>
      <c r="AZ24" s="62">
        <v>0</v>
      </c>
      <c r="BA24" s="62" t="s">
        <v>451</v>
      </c>
      <c r="BB24" s="62" t="s">
        <v>452</v>
      </c>
      <c r="BC24" s="62" t="s">
        <v>453</v>
      </c>
      <c r="BD24" s="62" t="s">
        <v>461</v>
      </c>
      <c r="BE24" s="62" t="s">
        <v>462</v>
      </c>
      <c r="BF24" s="62" t="s">
        <v>456</v>
      </c>
      <c r="BG24" s="62" t="s">
        <v>456</v>
      </c>
      <c r="BH24" s="62" t="s">
        <v>456</v>
      </c>
      <c r="BI24" s="62" t="s">
        <v>456</v>
      </c>
      <c r="BJ24" s="62" t="s">
        <v>456</v>
      </c>
      <c r="BK24" s="62" t="s">
        <v>456</v>
      </c>
      <c r="BL24" s="62" t="s">
        <v>456</v>
      </c>
      <c r="BM24" s="62">
        <v>2395</v>
      </c>
      <c r="BN24" s="62">
        <v>464</v>
      </c>
      <c r="BO24" s="62">
        <v>904</v>
      </c>
      <c r="BP24" s="62">
        <v>2330</v>
      </c>
      <c r="BQ24" s="62">
        <v>2071</v>
      </c>
      <c r="BR24" s="62">
        <v>0</v>
      </c>
      <c r="BS24" s="62">
        <v>0</v>
      </c>
      <c r="BT24" s="62">
        <v>0</v>
      </c>
      <c r="BU24" s="62">
        <v>0</v>
      </c>
      <c r="BV24" s="62">
        <v>0</v>
      </c>
      <c r="BW24" s="62">
        <v>0</v>
      </c>
      <c r="BX24" s="62">
        <v>0</v>
      </c>
      <c r="BY24" s="62" t="s">
        <v>462</v>
      </c>
      <c r="BZ24" s="62" t="s">
        <v>462</v>
      </c>
      <c r="CA24" s="62" t="s">
        <v>456</v>
      </c>
      <c r="CB24" s="62"/>
      <c r="CC24" s="62">
        <v>1</v>
      </c>
      <c r="CD24" s="62">
        <v>1</v>
      </c>
      <c r="CE24" s="62">
        <v>0</v>
      </c>
      <c r="CF24" s="62"/>
      <c r="CG24" s="62" t="s">
        <v>458</v>
      </c>
    </row>
    <row r="25" s="53" customFormat="1" ht="13.5" spans="1:85">
      <c r="A25" s="62" t="s">
        <v>29</v>
      </c>
      <c r="B25" s="62" t="s">
        <v>513</v>
      </c>
      <c r="C25" s="62">
        <v>13950</v>
      </c>
      <c r="D25" s="62"/>
      <c r="E25" s="62" t="s">
        <v>30</v>
      </c>
      <c r="F25" s="62" t="b">
        <f>IF(COUNTIF(按提示输入属性!D11,E25)&gt;0,TRUE,FALSE)</f>
        <v>1</v>
      </c>
      <c r="G25" s="62"/>
      <c r="H25" s="62"/>
      <c r="I25" s="62"/>
      <c r="J25" s="62"/>
      <c r="K25" s="62">
        <v>0</v>
      </c>
      <c r="L25" s="62">
        <f>INT(K25*F342)</f>
        <v>0</v>
      </c>
      <c r="M25" s="62">
        <v>2961</v>
      </c>
      <c r="N25" s="62">
        <f>INT(M25*F344)</f>
        <v>3032</v>
      </c>
      <c r="O25" s="62">
        <v>2946</v>
      </c>
      <c r="P25" s="62">
        <f>INT(O25*F344)</f>
        <v>3017</v>
      </c>
      <c r="Q25" s="62">
        <v>1901</v>
      </c>
      <c r="R25" s="62">
        <f>INT(Q25*F344)</f>
        <v>1946</v>
      </c>
      <c r="S25" s="62">
        <v>2756</v>
      </c>
      <c r="T25" s="62">
        <f>INT(S25*F344)</f>
        <v>2822</v>
      </c>
      <c r="U25" s="62">
        <v>0</v>
      </c>
      <c r="V25" s="62">
        <f>INT(U25*F344)</f>
        <v>0</v>
      </c>
      <c r="W25" s="62">
        <v>0</v>
      </c>
      <c r="X25" s="62">
        <f>INT(W25*F344)</f>
        <v>0</v>
      </c>
      <c r="Y25" s="62">
        <v>0</v>
      </c>
      <c r="Z25" s="62">
        <v>0</v>
      </c>
      <c r="AA25" s="62">
        <v>0</v>
      </c>
      <c r="AB25" s="62">
        <v>0</v>
      </c>
      <c r="AC25" s="62">
        <v>0</v>
      </c>
      <c r="AD25" s="62">
        <v>0</v>
      </c>
      <c r="AE25" s="62">
        <v>0</v>
      </c>
      <c r="AF25" s="62">
        <v>1</v>
      </c>
      <c r="AG25" s="62">
        <v>1</v>
      </c>
      <c r="AH25" s="62">
        <v>0</v>
      </c>
      <c r="AI25" s="62">
        <v>0</v>
      </c>
      <c r="AJ25" s="62"/>
      <c r="AK25" s="62"/>
      <c r="AL25" s="62"/>
      <c r="AM25" s="62"/>
      <c r="AN25" s="62"/>
      <c r="AO25" s="62"/>
      <c r="AP25" s="62" t="s">
        <v>514</v>
      </c>
      <c r="AQ25" s="62">
        <v>3</v>
      </c>
      <c r="AR25" s="62" t="s">
        <v>449</v>
      </c>
      <c r="AS25" s="62">
        <v>1</v>
      </c>
      <c r="AT25" s="62" t="s">
        <v>450</v>
      </c>
      <c r="AU25" s="62" t="s">
        <v>450</v>
      </c>
      <c r="AV25" s="62" t="s">
        <v>450</v>
      </c>
      <c r="AW25" s="62">
        <v>0</v>
      </c>
      <c r="AX25" s="62">
        <v>0</v>
      </c>
      <c r="AY25" s="62">
        <v>0</v>
      </c>
      <c r="AZ25" s="62">
        <v>0</v>
      </c>
      <c r="BA25" s="62" t="s">
        <v>453</v>
      </c>
      <c r="BB25" s="62" t="s">
        <v>454</v>
      </c>
      <c r="BC25" s="62" t="s">
        <v>456</v>
      </c>
      <c r="BD25" s="62" t="s">
        <v>456</v>
      </c>
      <c r="BE25" s="62" t="s">
        <v>456</v>
      </c>
      <c r="BF25" s="62" t="s">
        <v>456</v>
      </c>
      <c r="BG25" s="62" t="s">
        <v>456</v>
      </c>
      <c r="BH25" s="62" t="s">
        <v>456</v>
      </c>
      <c r="BI25" s="62" t="s">
        <v>456</v>
      </c>
      <c r="BJ25" s="62" t="s">
        <v>456</v>
      </c>
      <c r="BK25" s="62" t="s">
        <v>456</v>
      </c>
      <c r="BL25" s="62" t="s">
        <v>456</v>
      </c>
      <c r="BM25" s="62">
        <v>2275</v>
      </c>
      <c r="BN25" s="62">
        <v>4422</v>
      </c>
      <c r="BO25" s="62">
        <v>0</v>
      </c>
      <c r="BP25" s="62">
        <v>0</v>
      </c>
      <c r="BQ25" s="62">
        <v>0</v>
      </c>
      <c r="BR25" s="62">
        <v>0</v>
      </c>
      <c r="BS25" s="62">
        <v>0</v>
      </c>
      <c r="BT25" s="62">
        <v>0</v>
      </c>
      <c r="BU25" s="62">
        <v>0</v>
      </c>
      <c r="BV25" s="62">
        <v>0</v>
      </c>
      <c r="BW25" s="62">
        <v>0</v>
      </c>
      <c r="BX25" s="62">
        <v>0</v>
      </c>
      <c r="BY25" s="62" t="s">
        <v>455</v>
      </c>
      <c r="BZ25" s="62" t="s">
        <v>455</v>
      </c>
      <c r="CA25" s="62" t="s">
        <v>456</v>
      </c>
      <c r="CB25" s="62"/>
      <c r="CC25" s="62">
        <v>1</v>
      </c>
      <c r="CD25" s="62">
        <v>1</v>
      </c>
      <c r="CE25" s="62">
        <v>0</v>
      </c>
      <c r="CF25" s="62"/>
      <c r="CG25" s="62" t="s">
        <v>473</v>
      </c>
    </row>
    <row r="26" s="53" customFormat="1" ht="13.5" spans="1:85">
      <c r="A26" s="62" t="s">
        <v>29</v>
      </c>
      <c r="B26" s="62" t="s">
        <v>515</v>
      </c>
      <c r="C26" s="62">
        <v>13950</v>
      </c>
      <c r="D26" s="62"/>
      <c r="E26" s="62" t="s">
        <v>516</v>
      </c>
      <c r="F26" s="62" t="b">
        <f>IF(COUNTIF(按提示输入属性!D11,E26)&gt;0,TRUE,FALSE)</f>
        <v>0</v>
      </c>
      <c r="G26" s="62"/>
      <c r="H26" s="62"/>
      <c r="I26" s="62"/>
      <c r="J26" s="62"/>
      <c r="K26" s="62">
        <v>0</v>
      </c>
      <c r="L26" s="62">
        <f>INT(K26*F342)</f>
        <v>0</v>
      </c>
      <c r="M26" s="62">
        <v>3267</v>
      </c>
      <c r="N26" s="62">
        <f>INT(M26*F344)</f>
        <v>3345</v>
      </c>
      <c r="O26" s="62">
        <v>2471</v>
      </c>
      <c r="P26" s="62">
        <f>INT(O26*F344)</f>
        <v>2530</v>
      </c>
      <c r="Q26" s="62">
        <v>0</v>
      </c>
      <c r="R26" s="62">
        <f>INT(Q26*F344)</f>
        <v>0</v>
      </c>
      <c r="S26" s="62">
        <v>2471</v>
      </c>
      <c r="T26" s="62">
        <f>INT(S26*F344)</f>
        <v>2530</v>
      </c>
      <c r="U26" s="62">
        <v>2281</v>
      </c>
      <c r="V26" s="62">
        <f>INT(U26*F344)</f>
        <v>2336</v>
      </c>
      <c r="W26" s="62">
        <v>0</v>
      </c>
      <c r="X26" s="62">
        <f>INT(W26*F344)</f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1</v>
      </c>
      <c r="AF26" s="62">
        <v>1</v>
      </c>
      <c r="AG26" s="62">
        <v>0</v>
      </c>
      <c r="AH26" s="62">
        <v>0</v>
      </c>
      <c r="AI26" s="62">
        <v>0</v>
      </c>
      <c r="AJ26" s="62"/>
      <c r="AK26" s="62"/>
      <c r="AL26" s="62"/>
      <c r="AM26" s="62"/>
      <c r="AN26" s="62"/>
      <c r="AO26" s="62"/>
      <c r="AP26" s="62" t="s">
        <v>477</v>
      </c>
      <c r="AQ26" s="62">
        <v>3</v>
      </c>
      <c r="AR26" s="62" t="s">
        <v>449</v>
      </c>
      <c r="AS26" s="62">
        <v>1</v>
      </c>
      <c r="AT26" s="62" t="s">
        <v>450</v>
      </c>
      <c r="AU26" s="62" t="s">
        <v>450</v>
      </c>
      <c r="AV26" s="62" t="s">
        <v>450</v>
      </c>
      <c r="AW26" s="62">
        <v>0</v>
      </c>
      <c r="AX26" s="62">
        <v>0</v>
      </c>
      <c r="AY26" s="62">
        <v>0</v>
      </c>
      <c r="AZ26" s="62">
        <v>0</v>
      </c>
      <c r="BA26" s="62" t="s">
        <v>453</v>
      </c>
      <c r="BB26" s="62" t="s">
        <v>455</v>
      </c>
      <c r="BC26" s="62" t="s">
        <v>487</v>
      </c>
      <c r="BD26" s="62" t="s">
        <v>456</v>
      </c>
      <c r="BE26" s="62" t="s">
        <v>456</v>
      </c>
      <c r="BF26" s="62" t="s">
        <v>456</v>
      </c>
      <c r="BG26" s="62" t="s">
        <v>456</v>
      </c>
      <c r="BH26" s="62" t="s">
        <v>456</v>
      </c>
      <c r="BI26" s="62" t="s">
        <v>456</v>
      </c>
      <c r="BJ26" s="62" t="s">
        <v>456</v>
      </c>
      <c r="BK26" s="62" t="s">
        <v>456</v>
      </c>
      <c r="BL26" s="62" t="s">
        <v>456</v>
      </c>
      <c r="BM26" s="62">
        <v>1941</v>
      </c>
      <c r="BN26" s="62">
        <v>2616</v>
      </c>
      <c r="BO26" s="62">
        <v>2491</v>
      </c>
      <c r="BP26" s="62">
        <v>0</v>
      </c>
      <c r="BQ26" s="62">
        <v>0</v>
      </c>
      <c r="BR26" s="62">
        <v>0</v>
      </c>
      <c r="BS26" s="62">
        <v>0</v>
      </c>
      <c r="BT26" s="62">
        <v>0</v>
      </c>
      <c r="BU26" s="62">
        <v>0</v>
      </c>
      <c r="BV26" s="62">
        <v>0</v>
      </c>
      <c r="BW26" s="62">
        <v>0</v>
      </c>
      <c r="BX26" s="62">
        <v>0</v>
      </c>
      <c r="BY26" s="62" t="s">
        <v>490</v>
      </c>
      <c r="BZ26" s="62" t="s">
        <v>490</v>
      </c>
      <c r="CA26" s="62" t="s">
        <v>456</v>
      </c>
      <c r="CB26" s="62"/>
      <c r="CC26" s="62">
        <v>1</v>
      </c>
      <c r="CD26" s="62">
        <v>1</v>
      </c>
      <c r="CE26" s="62">
        <v>0</v>
      </c>
      <c r="CF26" s="62"/>
      <c r="CG26" s="62" t="s">
        <v>473</v>
      </c>
    </row>
    <row r="27" s="54" customFormat="1" ht="13.5" spans="1:85">
      <c r="A27" s="63" t="s">
        <v>29</v>
      </c>
      <c r="B27" s="63" t="s">
        <v>517</v>
      </c>
      <c r="C27" s="63">
        <v>13950</v>
      </c>
      <c r="D27" s="63"/>
      <c r="E27" s="63" t="s">
        <v>518</v>
      </c>
      <c r="F27" s="63" t="b">
        <f>IF(COUNTIF(按提示输入属性!D11,E27)&gt;0,TRUE,FALSE)</f>
        <v>0</v>
      </c>
      <c r="G27" s="63"/>
      <c r="H27" s="63"/>
      <c r="I27" s="63"/>
      <c r="J27" s="63"/>
      <c r="K27" s="63">
        <v>0</v>
      </c>
      <c r="L27" s="63">
        <f>INT(K27*F342)</f>
        <v>0</v>
      </c>
      <c r="M27" s="63">
        <v>3472</v>
      </c>
      <c r="N27" s="63">
        <f>INT(M27*F343)</f>
        <v>3604</v>
      </c>
      <c r="O27" s="63">
        <v>0</v>
      </c>
      <c r="P27" s="61">
        <f>INT(O27*F343)</f>
        <v>0</v>
      </c>
      <c r="Q27" s="63">
        <v>0</v>
      </c>
      <c r="R27" s="61">
        <f>INT(Q27*F342)</f>
        <v>0</v>
      </c>
      <c r="S27" s="63">
        <v>0</v>
      </c>
      <c r="T27" s="61">
        <f>INT(S27*F343)</f>
        <v>0</v>
      </c>
      <c r="U27" s="63">
        <v>0</v>
      </c>
      <c r="V27" s="61">
        <f>INT(U27*F343)</f>
        <v>0</v>
      </c>
      <c r="W27" s="63">
        <v>6367</v>
      </c>
      <c r="X27" s="61">
        <f>INT(W27*F343)</f>
        <v>6609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1</v>
      </c>
      <c r="AG27" s="63">
        <v>0</v>
      </c>
      <c r="AH27" s="63">
        <v>1</v>
      </c>
      <c r="AI27" s="63">
        <v>0</v>
      </c>
      <c r="AJ27" s="63"/>
      <c r="AK27" s="63"/>
      <c r="AL27" s="63"/>
      <c r="AM27" s="63"/>
      <c r="AN27" s="63"/>
      <c r="AO27" s="63"/>
      <c r="AP27" s="63" t="s">
        <v>519</v>
      </c>
      <c r="AQ27" s="63">
        <v>4</v>
      </c>
      <c r="AR27" s="63" t="s">
        <v>449</v>
      </c>
      <c r="AS27" s="63">
        <v>1</v>
      </c>
      <c r="AT27" s="63" t="s">
        <v>450</v>
      </c>
      <c r="AU27" s="63" t="s">
        <v>450</v>
      </c>
      <c r="AV27" s="63" t="s">
        <v>450</v>
      </c>
      <c r="AW27" s="63">
        <v>3516</v>
      </c>
      <c r="AX27" s="63">
        <v>0</v>
      </c>
      <c r="AY27" s="63">
        <v>0</v>
      </c>
      <c r="AZ27" s="63">
        <v>0</v>
      </c>
      <c r="BA27" s="63" t="s">
        <v>453</v>
      </c>
      <c r="BB27" s="63" t="s">
        <v>455</v>
      </c>
      <c r="BC27" s="63" t="s">
        <v>454</v>
      </c>
      <c r="BD27" s="63" t="s">
        <v>462</v>
      </c>
      <c r="BE27" s="63" t="s">
        <v>456</v>
      </c>
      <c r="BF27" s="63" t="s">
        <v>456</v>
      </c>
      <c r="BG27" s="63" t="s">
        <v>456</v>
      </c>
      <c r="BH27" s="63" t="s">
        <v>456</v>
      </c>
      <c r="BI27" s="63" t="s">
        <v>456</v>
      </c>
      <c r="BJ27" s="63" t="s">
        <v>456</v>
      </c>
      <c r="BK27" s="63" t="s">
        <v>456</v>
      </c>
      <c r="BL27" s="63" t="s">
        <v>456</v>
      </c>
      <c r="BM27" s="63">
        <v>1941</v>
      </c>
      <c r="BN27" s="63">
        <v>1744</v>
      </c>
      <c r="BO27" s="63">
        <v>2118</v>
      </c>
      <c r="BP27" s="63">
        <v>1246</v>
      </c>
      <c r="BQ27" s="63">
        <v>0</v>
      </c>
      <c r="BR27" s="63">
        <v>0</v>
      </c>
      <c r="BS27" s="63">
        <v>0</v>
      </c>
      <c r="BT27" s="63">
        <v>0</v>
      </c>
      <c r="BU27" s="63">
        <v>0</v>
      </c>
      <c r="BV27" s="63">
        <v>0</v>
      </c>
      <c r="BW27" s="63">
        <v>0</v>
      </c>
      <c r="BX27" s="63">
        <v>0</v>
      </c>
      <c r="BY27" s="63" t="s">
        <v>487</v>
      </c>
      <c r="BZ27" s="63" t="s">
        <v>487</v>
      </c>
      <c r="CA27" s="63" t="s">
        <v>456</v>
      </c>
      <c r="CB27" s="63"/>
      <c r="CC27" s="63">
        <v>1</v>
      </c>
      <c r="CD27" s="63">
        <v>1</v>
      </c>
      <c r="CE27" s="63">
        <v>0</v>
      </c>
      <c r="CF27" s="63"/>
      <c r="CG27" s="63" t="s">
        <v>473</v>
      </c>
    </row>
    <row r="28" s="54" customFormat="1" ht="13.5" spans="1:85">
      <c r="A28" s="63" t="s">
        <v>29</v>
      </c>
      <c r="B28" s="63" t="s">
        <v>520</v>
      </c>
      <c r="C28" s="63">
        <v>13950</v>
      </c>
      <c r="D28" s="63"/>
      <c r="E28" s="63" t="s">
        <v>246</v>
      </c>
      <c r="F28" s="63" t="b">
        <f>IF(COUNTIF(按提示输入属性!D11,E28)&gt;0,TRUE,FALSE)</f>
        <v>0</v>
      </c>
      <c r="G28" s="63"/>
      <c r="H28" s="63"/>
      <c r="I28" s="63"/>
      <c r="J28" s="63"/>
      <c r="K28" s="63">
        <v>0</v>
      </c>
      <c r="L28" s="63">
        <f>INT(K28*F342)</f>
        <v>0</v>
      </c>
      <c r="M28" s="63">
        <v>2859</v>
      </c>
      <c r="N28" s="63">
        <f>INT(M28*F343)</f>
        <v>2967</v>
      </c>
      <c r="O28" s="63">
        <v>0</v>
      </c>
      <c r="P28" s="61">
        <f>INT(O28*F343)</f>
        <v>0</v>
      </c>
      <c r="Q28" s="63">
        <v>0</v>
      </c>
      <c r="R28" s="61">
        <f>INT(Q28*F342)</f>
        <v>0</v>
      </c>
      <c r="S28" s="63">
        <v>3611</v>
      </c>
      <c r="T28" s="61">
        <f>INT(S28*F343)</f>
        <v>3748</v>
      </c>
      <c r="U28" s="63">
        <v>3991</v>
      </c>
      <c r="V28" s="61">
        <f>INT(U28*F343)</f>
        <v>4142</v>
      </c>
      <c r="W28" s="63">
        <v>0</v>
      </c>
      <c r="X28" s="61">
        <f>INT(W28*F343)</f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1</v>
      </c>
      <c r="AD28" s="63">
        <v>1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/>
      <c r="AK28" s="63"/>
      <c r="AL28" s="63"/>
      <c r="AM28" s="63"/>
      <c r="AN28" s="63"/>
      <c r="AO28" s="63"/>
      <c r="AP28" s="63" t="s">
        <v>521</v>
      </c>
      <c r="AQ28" s="63">
        <v>4</v>
      </c>
      <c r="AR28" s="63" t="s">
        <v>449</v>
      </c>
      <c r="AS28" s="63">
        <v>1</v>
      </c>
      <c r="AT28" s="63" t="s">
        <v>450</v>
      </c>
      <c r="AU28" s="63" t="s">
        <v>450</v>
      </c>
      <c r="AV28" s="63" t="s">
        <v>450</v>
      </c>
      <c r="AW28" s="63">
        <v>3516</v>
      </c>
      <c r="AX28" s="63">
        <v>0</v>
      </c>
      <c r="AY28" s="63">
        <v>0</v>
      </c>
      <c r="AZ28" s="63">
        <v>0</v>
      </c>
      <c r="BA28" s="63" t="s">
        <v>453</v>
      </c>
      <c r="BB28" s="63" t="s">
        <v>462</v>
      </c>
      <c r="BC28" s="63" t="s">
        <v>456</v>
      </c>
      <c r="BD28" s="63" t="s">
        <v>456</v>
      </c>
      <c r="BE28" s="63" t="s">
        <v>456</v>
      </c>
      <c r="BF28" s="63" t="s">
        <v>456</v>
      </c>
      <c r="BG28" s="63" t="s">
        <v>456</v>
      </c>
      <c r="BH28" s="63" t="s">
        <v>456</v>
      </c>
      <c r="BI28" s="63" t="s">
        <v>456</v>
      </c>
      <c r="BJ28" s="63" t="s">
        <v>456</v>
      </c>
      <c r="BK28" s="63" t="s">
        <v>456</v>
      </c>
      <c r="BL28" s="63" t="s">
        <v>456</v>
      </c>
      <c r="BM28" s="63">
        <v>2275</v>
      </c>
      <c r="BN28" s="63">
        <v>4422</v>
      </c>
      <c r="BO28" s="63"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v>0</v>
      </c>
      <c r="BV28" s="63">
        <v>0</v>
      </c>
      <c r="BW28" s="63">
        <v>0</v>
      </c>
      <c r="BX28" s="63">
        <v>0</v>
      </c>
      <c r="BY28" s="63" t="s">
        <v>487</v>
      </c>
      <c r="BZ28" s="63" t="s">
        <v>487</v>
      </c>
      <c r="CA28" s="63" t="s">
        <v>456</v>
      </c>
      <c r="CB28" s="63"/>
      <c r="CC28" s="63">
        <v>1</v>
      </c>
      <c r="CD28" s="63">
        <v>1</v>
      </c>
      <c r="CE28" s="63">
        <v>0</v>
      </c>
      <c r="CF28" s="63"/>
      <c r="CG28" s="63" t="s">
        <v>473</v>
      </c>
    </row>
    <row r="29" s="52" customFormat="1" ht="13.5" spans="1:85">
      <c r="A29" s="61" t="s">
        <v>29</v>
      </c>
      <c r="B29" s="61" t="s">
        <v>522</v>
      </c>
      <c r="C29" s="61">
        <v>13950</v>
      </c>
      <c r="D29" s="61"/>
      <c r="E29" s="61" t="s">
        <v>523</v>
      </c>
      <c r="F29" s="61" t="b">
        <f>IF(COUNTIF(按提示输入属性!D11,E29)&gt;0,TRUE,FALSE)</f>
        <v>0</v>
      </c>
      <c r="G29" s="61"/>
      <c r="H29" s="61"/>
      <c r="I29" s="61"/>
      <c r="J29" s="61"/>
      <c r="K29" s="61">
        <v>682</v>
      </c>
      <c r="L29" s="61">
        <f>INT(K29*F342)</f>
        <v>733</v>
      </c>
      <c r="M29" s="61">
        <v>1327</v>
      </c>
      <c r="N29" s="61">
        <f>INT(M29*F342)</f>
        <v>1426</v>
      </c>
      <c r="O29" s="61">
        <v>0</v>
      </c>
      <c r="P29" s="61">
        <f>INT(O29*F342)</f>
        <v>0</v>
      </c>
      <c r="Q29" s="61">
        <v>0</v>
      </c>
      <c r="R29" s="61">
        <f>INT(Q29*F342)</f>
        <v>0</v>
      </c>
      <c r="S29" s="61">
        <v>3421</v>
      </c>
      <c r="T29" s="61">
        <f>INT(S29*F342)</f>
        <v>3678</v>
      </c>
      <c r="U29" s="61">
        <v>3041</v>
      </c>
      <c r="V29" s="61">
        <f>INT(U29*F342)</f>
        <v>3269</v>
      </c>
      <c r="W29" s="61">
        <v>0</v>
      </c>
      <c r="X29" s="61">
        <f>INT(W29*F342)</f>
        <v>0</v>
      </c>
      <c r="Y29" s="61">
        <v>0</v>
      </c>
      <c r="Z29" s="61">
        <v>0</v>
      </c>
      <c r="AA29" s="61">
        <v>0</v>
      </c>
      <c r="AB29" s="61">
        <v>0</v>
      </c>
      <c r="AC29" s="61">
        <v>1</v>
      </c>
      <c r="AD29" s="61">
        <v>0</v>
      </c>
      <c r="AE29" s="61">
        <v>0</v>
      </c>
      <c r="AF29" s="61">
        <v>1</v>
      </c>
      <c r="AG29" s="61">
        <v>0</v>
      </c>
      <c r="AH29" s="61">
        <v>0</v>
      </c>
      <c r="AI29" s="61">
        <v>0</v>
      </c>
      <c r="AJ29" s="61"/>
      <c r="AK29" s="61"/>
      <c r="AL29" s="61"/>
      <c r="AM29" s="61"/>
      <c r="AN29" s="61"/>
      <c r="AO29" s="61"/>
      <c r="AP29" s="61" t="s">
        <v>465</v>
      </c>
      <c r="AQ29" s="61">
        <v>6</v>
      </c>
      <c r="AR29" s="61" t="s">
        <v>524</v>
      </c>
      <c r="AS29" s="61">
        <v>1</v>
      </c>
      <c r="AT29" s="61" t="s">
        <v>450</v>
      </c>
      <c r="AU29" s="61" t="s">
        <v>450</v>
      </c>
      <c r="AV29" s="61" t="s">
        <v>450</v>
      </c>
      <c r="AW29" s="61">
        <v>3516</v>
      </c>
      <c r="AX29" s="61">
        <v>0</v>
      </c>
      <c r="AY29" s="61">
        <v>0</v>
      </c>
      <c r="AZ29" s="61">
        <v>0</v>
      </c>
      <c r="BA29" s="61" t="s">
        <v>453</v>
      </c>
      <c r="BB29" s="61" t="s">
        <v>455</v>
      </c>
      <c r="BC29" s="61" t="s">
        <v>454</v>
      </c>
      <c r="BD29" s="61" t="s">
        <v>456</v>
      </c>
      <c r="BE29" s="61" t="s">
        <v>456</v>
      </c>
      <c r="BF29" s="61" t="s">
        <v>456</v>
      </c>
      <c r="BG29" s="61" t="s">
        <v>456</v>
      </c>
      <c r="BH29" s="61" t="s">
        <v>456</v>
      </c>
      <c r="BI29" s="61" t="s">
        <v>456</v>
      </c>
      <c r="BJ29" s="61" t="s">
        <v>456</v>
      </c>
      <c r="BK29" s="61" t="s">
        <v>456</v>
      </c>
      <c r="BL29" s="61" t="s">
        <v>456</v>
      </c>
      <c r="BM29" s="61">
        <v>1941</v>
      </c>
      <c r="BN29" s="61">
        <v>2491</v>
      </c>
      <c r="BO29" s="61">
        <v>2616</v>
      </c>
      <c r="BP29" s="61">
        <v>0</v>
      </c>
      <c r="BQ29" s="61">
        <v>0</v>
      </c>
      <c r="BR29" s="61">
        <v>0</v>
      </c>
      <c r="BS29" s="61">
        <v>0</v>
      </c>
      <c r="BT29" s="61">
        <v>0</v>
      </c>
      <c r="BU29" s="61">
        <v>0</v>
      </c>
      <c r="BV29" s="61">
        <v>0</v>
      </c>
      <c r="BW29" s="61">
        <v>0</v>
      </c>
      <c r="BX29" s="61">
        <v>0</v>
      </c>
      <c r="BY29" s="61" t="s">
        <v>487</v>
      </c>
      <c r="BZ29" s="61" t="s">
        <v>487</v>
      </c>
      <c r="CA29" s="61" t="s">
        <v>456</v>
      </c>
      <c r="CB29" s="61"/>
      <c r="CC29" s="61">
        <v>1</v>
      </c>
      <c r="CD29" s="61">
        <v>1</v>
      </c>
      <c r="CE29" s="61">
        <v>0</v>
      </c>
      <c r="CF29" s="61"/>
      <c r="CG29" s="61" t="s">
        <v>473</v>
      </c>
    </row>
    <row r="30" s="52" customFormat="1" ht="13.5" spans="1:85">
      <c r="A30" s="61" t="s">
        <v>29</v>
      </c>
      <c r="B30" s="61" t="s">
        <v>525</v>
      </c>
      <c r="C30" s="61">
        <v>13950</v>
      </c>
      <c r="D30" s="61"/>
      <c r="E30" s="61" t="s">
        <v>526</v>
      </c>
      <c r="F30" s="61" t="b">
        <f>IF(COUNTIF(按提示输入属性!D11,E30)&gt;0,TRUE,FALSE)</f>
        <v>0</v>
      </c>
      <c r="G30" s="61"/>
      <c r="H30" s="61"/>
      <c r="I30" s="61"/>
      <c r="J30" s="61"/>
      <c r="K30" s="61">
        <v>682</v>
      </c>
      <c r="L30" s="61">
        <f>INT(K30*F342)</f>
        <v>733</v>
      </c>
      <c r="M30" s="61">
        <v>1327</v>
      </c>
      <c r="N30" s="61">
        <f>INT(M30*F342)</f>
        <v>1426</v>
      </c>
      <c r="O30" s="61">
        <v>3421</v>
      </c>
      <c r="P30" s="61">
        <f>INT(O30*F342)</f>
        <v>3678</v>
      </c>
      <c r="Q30" s="61">
        <v>0</v>
      </c>
      <c r="R30" s="61">
        <f>INT(Q30*F342)</f>
        <v>0</v>
      </c>
      <c r="S30" s="61">
        <v>0</v>
      </c>
      <c r="T30" s="61">
        <f>INT(S30*F342)</f>
        <v>0</v>
      </c>
      <c r="U30" s="61">
        <v>3041</v>
      </c>
      <c r="V30" s="61">
        <f>INT(U30*F342)</f>
        <v>3269</v>
      </c>
      <c r="W30" s="61">
        <v>0</v>
      </c>
      <c r="X30" s="61">
        <f>INT(W30*F342)</f>
        <v>0</v>
      </c>
      <c r="Y30" s="61">
        <v>0</v>
      </c>
      <c r="Z30" s="61">
        <v>0</v>
      </c>
      <c r="AA30" s="61">
        <v>0</v>
      </c>
      <c r="AB30" s="61">
        <v>1</v>
      </c>
      <c r="AC30" s="61">
        <v>1</v>
      </c>
      <c r="AD30" s="61">
        <v>0</v>
      </c>
      <c r="AE30" s="61">
        <v>0</v>
      </c>
      <c r="AF30" s="61">
        <v>0</v>
      </c>
      <c r="AG30" s="61">
        <v>0</v>
      </c>
      <c r="AH30" s="61">
        <v>0</v>
      </c>
      <c r="AI30" s="61">
        <v>0</v>
      </c>
      <c r="AJ30" s="61"/>
      <c r="AK30" s="61"/>
      <c r="AL30" s="61"/>
      <c r="AM30" s="61"/>
      <c r="AN30" s="61"/>
      <c r="AO30" s="61"/>
      <c r="AP30" s="61" t="s">
        <v>468</v>
      </c>
      <c r="AQ30" s="61">
        <v>6</v>
      </c>
      <c r="AR30" s="61" t="s">
        <v>469</v>
      </c>
      <c r="AS30" s="61">
        <v>1</v>
      </c>
      <c r="AT30" s="61" t="s">
        <v>450</v>
      </c>
      <c r="AU30" s="61" t="s">
        <v>450</v>
      </c>
      <c r="AV30" s="61" t="s">
        <v>450</v>
      </c>
      <c r="AW30" s="61">
        <v>3516</v>
      </c>
      <c r="AX30" s="61">
        <v>0</v>
      </c>
      <c r="AY30" s="61">
        <v>0</v>
      </c>
      <c r="AZ30" s="61">
        <v>0</v>
      </c>
      <c r="BA30" s="61" t="s">
        <v>453</v>
      </c>
      <c r="BB30" s="61" t="s">
        <v>487</v>
      </c>
      <c r="BC30" s="61" t="s">
        <v>490</v>
      </c>
      <c r="BD30" s="61" t="s">
        <v>462</v>
      </c>
      <c r="BE30" s="61" t="s">
        <v>456</v>
      </c>
      <c r="BF30" s="61" t="s">
        <v>456</v>
      </c>
      <c r="BG30" s="61" t="s">
        <v>456</v>
      </c>
      <c r="BH30" s="61" t="s">
        <v>456</v>
      </c>
      <c r="BI30" s="61" t="s">
        <v>456</v>
      </c>
      <c r="BJ30" s="61" t="s">
        <v>456</v>
      </c>
      <c r="BK30" s="61" t="s">
        <v>456</v>
      </c>
      <c r="BL30" s="61" t="s">
        <v>456</v>
      </c>
      <c r="BM30" s="61">
        <v>1941</v>
      </c>
      <c r="BN30" s="61">
        <v>2367</v>
      </c>
      <c r="BO30" s="61">
        <v>1246</v>
      </c>
      <c r="BP30" s="61">
        <v>1370</v>
      </c>
      <c r="BQ30" s="61">
        <v>0</v>
      </c>
      <c r="BR30" s="61">
        <v>0</v>
      </c>
      <c r="BS30" s="61">
        <v>0</v>
      </c>
      <c r="BT30" s="61">
        <v>0</v>
      </c>
      <c r="BU30" s="61">
        <v>0</v>
      </c>
      <c r="BV30" s="61">
        <v>0</v>
      </c>
      <c r="BW30" s="61">
        <v>0</v>
      </c>
      <c r="BX30" s="61">
        <v>0</v>
      </c>
      <c r="BY30" s="61" t="s">
        <v>454</v>
      </c>
      <c r="BZ30" s="61" t="s">
        <v>454</v>
      </c>
      <c r="CA30" s="61" t="s">
        <v>456</v>
      </c>
      <c r="CB30" s="61"/>
      <c r="CC30" s="61">
        <v>1</v>
      </c>
      <c r="CD30" s="61">
        <v>1</v>
      </c>
      <c r="CE30" s="61">
        <v>0</v>
      </c>
      <c r="CF30" s="61"/>
      <c r="CG30" s="61" t="s">
        <v>473</v>
      </c>
    </row>
    <row r="31" s="52" customFormat="1" ht="13.5" spans="1:85">
      <c r="A31" s="61" t="s">
        <v>29</v>
      </c>
      <c r="B31" s="61" t="s">
        <v>527</v>
      </c>
      <c r="C31" s="61">
        <v>13750</v>
      </c>
      <c r="D31" s="61"/>
      <c r="E31" s="61" t="s">
        <v>528</v>
      </c>
      <c r="F31" s="61" t="b">
        <f>IF(COUNTIF(按提示输入属性!D11,E31)&gt;0,TRUE,FALSE)</f>
        <v>0</v>
      </c>
      <c r="G31" s="61"/>
      <c r="H31" s="61"/>
      <c r="I31" s="61"/>
      <c r="J31" s="61"/>
      <c r="K31" s="61">
        <v>672</v>
      </c>
      <c r="L31" s="61">
        <f>INT(K31*F342)</f>
        <v>722</v>
      </c>
      <c r="M31" s="61">
        <v>1308</v>
      </c>
      <c r="N31" s="61">
        <f>INT(M31*F342)</f>
        <v>1406</v>
      </c>
      <c r="O31" s="61">
        <v>3372</v>
      </c>
      <c r="P31" s="61">
        <f>INT(O31*F342)</f>
        <v>3625</v>
      </c>
      <c r="Q31" s="61">
        <v>0</v>
      </c>
      <c r="R31" s="61">
        <f>INT(Q31*F342)</f>
        <v>0</v>
      </c>
      <c r="S31" s="61">
        <v>0</v>
      </c>
      <c r="T31" s="61">
        <f>INT(S31*F342)</f>
        <v>0</v>
      </c>
      <c r="U31" s="61">
        <v>2998</v>
      </c>
      <c r="V31" s="61">
        <f>INT(U31*F342)</f>
        <v>3223</v>
      </c>
      <c r="W31" s="61">
        <v>0</v>
      </c>
      <c r="X31" s="61">
        <f>INT(W31*F342)</f>
        <v>0</v>
      </c>
      <c r="Y31" s="61">
        <v>0</v>
      </c>
      <c r="Z31" s="61">
        <v>0</v>
      </c>
      <c r="AA31" s="61">
        <v>0</v>
      </c>
      <c r="AB31" s="61">
        <v>1</v>
      </c>
      <c r="AC31" s="61">
        <v>1</v>
      </c>
      <c r="AD31" s="61">
        <v>0</v>
      </c>
      <c r="AE31" s="61">
        <v>0</v>
      </c>
      <c r="AF31" s="61">
        <v>0</v>
      </c>
      <c r="AG31" s="61">
        <v>0</v>
      </c>
      <c r="AH31" s="61">
        <v>0</v>
      </c>
      <c r="AI31" s="61">
        <v>0</v>
      </c>
      <c r="AJ31" s="61"/>
      <c r="AK31" s="61"/>
      <c r="AL31" s="61"/>
      <c r="AM31" s="61">
        <v>1</v>
      </c>
      <c r="AN31" s="61"/>
      <c r="AO31" s="61"/>
      <c r="AP31" s="61" t="s">
        <v>468</v>
      </c>
      <c r="AQ31" s="61">
        <v>6</v>
      </c>
      <c r="AR31" s="61" t="s">
        <v>529</v>
      </c>
      <c r="AS31" s="61">
        <v>1</v>
      </c>
      <c r="AT31" s="61" t="s">
        <v>450</v>
      </c>
      <c r="AU31" s="61" t="s">
        <v>450</v>
      </c>
      <c r="AV31" s="61" t="s">
        <v>450</v>
      </c>
      <c r="AW31" s="61">
        <v>3466</v>
      </c>
      <c r="AX31" s="61">
        <v>0</v>
      </c>
      <c r="AY31" s="61">
        <v>0</v>
      </c>
      <c r="AZ31" s="61">
        <v>0</v>
      </c>
      <c r="BA31" s="61" t="s">
        <v>451</v>
      </c>
      <c r="BB31" s="61" t="s">
        <v>452</v>
      </c>
      <c r="BC31" s="61" t="s">
        <v>453</v>
      </c>
      <c r="BD31" s="61" t="s">
        <v>454</v>
      </c>
      <c r="BE31" s="61" t="s">
        <v>455</v>
      </c>
      <c r="BF31" s="61" t="s">
        <v>456</v>
      </c>
      <c r="BG31" s="61" t="s">
        <v>456</v>
      </c>
      <c r="BH31" s="61" t="s">
        <v>456</v>
      </c>
      <c r="BI31" s="61" t="s">
        <v>456</v>
      </c>
      <c r="BJ31" s="61" t="s">
        <v>456</v>
      </c>
      <c r="BK31" s="61" t="s">
        <v>456</v>
      </c>
      <c r="BL31" s="61" t="s">
        <v>456</v>
      </c>
      <c r="BM31" s="61">
        <v>2269</v>
      </c>
      <c r="BN31" s="61">
        <v>440</v>
      </c>
      <c r="BO31" s="61">
        <v>856</v>
      </c>
      <c r="BP31" s="61">
        <v>2207</v>
      </c>
      <c r="BQ31" s="61">
        <v>1962</v>
      </c>
      <c r="BR31" s="61">
        <v>0</v>
      </c>
      <c r="BS31" s="61">
        <v>0</v>
      </c>
      <c r="BT31" s="61">
        <v>0</v>
      </c>
      <c r="BU31" s="61">
        <v>0</v>
      </c>
      <c r="BV31" s="61">
        <v>0</v>
      </c>
      <c r="BW31" s="61">
        <v>0</v>
      </c>
      <c r="BX31" s="61">
        <v>0</v>
      </c>
      <c r="BY31" s="61" t="s">
        <v>453</v>
      </c>
      <c r="BZ31" s="61" t="s">
        <v>453</v>
      </c>
      <c r="CA31" s="61" t="s">
        <v>456</v>
      </c>
      <c r="CB31" s="61"/>
      <c r="CC31" s="61">
        <v>1</v>
      </c>
      <c r="CD31" s="61">
        <v>1</v>
      </c>
      <c r="CE31" s="61">
        <v>0</v>
      </c>
      <c r="CF31" s="61"/>
      <c r="CG31" s="61" t="s">
        <v>458</v>
      </c>
    </row>
    <row r="32" s="53" customFormat="1" ht="13.5" spans="1:85">
      <c r="A32" s="62" t="s">
        <v>29</v>
      </c>
      <c r="B32" s="62" t="s">
        <v>530</v>
      </c>
      <c r="C32" s="62">
        <v>13550</v>
      </c>
      <c r="D32" s="62"/>
      <c r="E32" s="62" t="s">
        <v>531</v>
      </c>
      <c r="F32" s="62" t="b">
        <f>IF(COUNTIF(按提示输入属性!D11,E32)&gt;0,TRUE,FALSE)</f>
        <v>0</v>
      </c>
      <c r="G32" s="62"/>
      <c r="H32" s="62"/>
      <c r="I32" s="62"/>
      <c r="J32" s="62"/>
      <c r="K32" s="62">
        <v>0</v>
      </c>
      <c r="L32" s="62">
        <f>INT(K32*F342)</f>
        <v>0</v>
      </c>
      <c r="M32" s="62">
        <v>3372</v>
      </c>
      <c r="N32" s="62">
        <f>INT(M32*F344)</f>
        <v>3453</v>
      </c>
      <c r="O32" s="62">
        <v>0</v>
      </c>
      <c r="P32" s="61">
        <f>INT(O32*F344)</f>
        <v>0</v>
      </c>
      <c r="Q32" s="62">
        <v>0</v>
      </c>
      <c r="R32" s="61">
        <f>INT(Q32*F344)</f>
        <v>0</v>
      </c>
      <c r="S32" s="62">
        <v>6554</v>
      </c>
      <c r="T32" s="61">
        <f>INT(S32*F344)</f>
        <v>6712</v>
      </c>
      <c r="U32" s="62">
        <v>0</v>
      </c>
      <c r="V32" s="61">
        <f>INT(U32*F344)</f>
        <v>0</v>
      </c>
      <c r="W32" s="62">
        <v>0</v>
      </c>
      <c r="X32" s="61">
        <f>INT(W32*F342)</f>
        <v>0</v>
      </c>
      <c r="Y32" s="62">
        <v>0</v>
      </c>
      <c r="Z32" s="62">
        <v>0</v>
      </c>
      <c r="AA32" s="62">
        <v>0</v>
      </c>
      <c r="AB32" s="62">
        <v>0</v>
      </c>
      <c r="AC32" s="62">
        <v>1</v>
      </c>
      <c r="AD32" s="62">
        <v>0</v>
      </c>
      <c r="AE32" s="62">
        <v>0</v>
      </c>
      <c r="AF32" s="62">
        <v>0</v>
      </c>
      <c r="AG32" s="62">
        <v>1</v>
      </c>
      <c r="AH32" s="62">
        <v>0</v>
      </c>
      <c r="AI32" s="62">
        <v>0</v>
      </c>
      <c r="AJ32" s="62"/>
      <c r="AK32" s="62"/>
      <c r="AL32" s="62"/>
      <c r="AM32" s="62"/>
      <c r="AN32" s="62"/>
      <c r="AO32" s="62"/>
      <c r="AP32" s="62" t="s">
        <v>479</v>
      </c>
      <c r="AQ32" s="62">
        <v>3</v>
      </c>
      <c r="AR32" s="62" t="s">
        <v>473</v>
      </c>
      <c r="AS32" s="62">
        <v>1</v>
      </c>
      <c r="AT32" s="62" t="s">
        <v>450</v>
      </c>
      <c r="AU32" s="62" t="s">
        <v>450</v>
      </c>
      <c r="AV32" s="62" t="s">
        <v>450</v>
      </c>
      <c r="AW32" s="62">
        <v>0</v>
      </c>
      <c r="AX32" s="62">
        <v>0</v>
      </c>
      <c r="AY32" s="62">
        <v>0</v>
      </c>
      <c r="AZ32" s="62">
        <v>0</v>
      </c>
      <c r="BA32" s="62" t="s">
        <v>451</v>
      </c>
      <c r="BB32" s="62" t="s">
        <v>452</v>
      </c>
      <c r="BC32" s="62" t="s">
        <v>453</v>
      </c>
      <c r="BD32" s="62" t="s">
        <v>461</v>
      </c>
      <c r="BE32" s="62" t="s">
        <v>462</v>
      </c>
      <c r="BF32" s="62" t="s">
        <v>456</v>
      </c>
      <c r="BG32" s="62" t="s">
        <v>456</v>
      </c>
      <c r="BH32" s="62" t="s">
        <v>456</v>
      </c>
      <c r="BI32" s="62" t="s">
        <v>456</v>
      </c>
      <c r="BJ32" s="62" t="s">
        <v>456</v>
      </c>
      <c r="BK32" s="62" t="s">
        <v>456</v>
      </c>
      <c r="BL32" s="62" t="s">
        <v>456</v>
      </c>
      <c r="BM32" s="62">
        <v>2269</v>
      </c>
      <c r="BN32" s="62">
        <v>440</v>
      </c>
      <c r="BO32" s="62">
        <v>856</v>
      </c>
      <c r="BP32" s="62">
        <v>2207</v>
      </c>
      <c r="BQ32" s="62">
        <v>1962</v>
      </c>
      <c r="BR32" s="62">
        <v>0</v>
      </c>
      <c r="BS32" s="62">
        <v>0</v>
      </c>
      <c r="BT32" s="62">
        <v>0</v>
      </c>
      <c r="BU32" s="62">
        <v>0</v>
      </c>
      <c r="BV32" s="62">
        <v>0</v>
      </c>
      <c r="BW32" s="62">
        <v>0</v>
      </c>
      <c r="BX32" s="62">
        <v>0</v>
      </c>
      <c r="BY32" s="62" t="s">
        <v>462</v>
      </c>
      <c r="BZ32" s="62" t="s">
        <v>462</v>
      </c>
      <c r="CA32" s="62" t="s">
        <v>456</v>
      </c>
      <c r="CB32" s="62"/>
      <c r="CC32" s="62">
        <v>1</v>
      </c>
      <c r="CD32" s="62">
        <v>1</v>
      </c>
      <c r="CE32" s="62">
        <v>0</v>
      </c>
      <c r="CF32" s="62"/>
      <c r="CG32" s="62" t="s">
        <v>458</v>
      </c>
    </row>
    <row r="33" s="53" customFormat="1" ht="13.5" spans="1:85">
      <c r="A33" s="62" t="s">
        <v>29</v>
      </c>
      <c r="B33" s="62" t="s">
        <v>530</v>
      </c>
      <c r="C33" s="62">
        <v>13550</v>
      </c>
      <c r="D33" s="62"/>
      <c r="E33" s="62" t="s">
        <v>532</v>
      </c>
      <c r="F33" s="62" t="b">
        <f>IF(COUNTIF(按提示输入属性!D11,E33)&gt;0,TRUE,FALSE)</f>
        <v>0</v>
      </c>
      <c r="G33" s="62"/>
      <c r="H33" s="62"/>
      <c r="I33" s="62"/>
      <c r="J33" s="62"/>
      <c r="K33" s="62">
        <v>0</v>
      </c>
      <c r="L33" s="62">
        <f>INT(K33*F342)</f>
        <v>0</v>
      </c>
      <c r="M33" s="62">
        <v>2876</v>
      </c>
      <c r="N33" s="62">
        <f>INT(M33*F344)</f>
        <v>2945</v>
      </c>
      <c r="O33" s="62">
        <v>4616</v>
      </c>
      <c r="P33" s="62">
        <f>INT(O33*F344)</f>
        <v>4727</v>
      </c>
      <c r="Q33" s="62">
        <v>2769</v>
      </c>
      <c r="R33" s="62">
        <f>INT(Q33*F344)</f>
        <v>2835</v>
      </c>
      <c r="S33" s="62">
        <v>0</v>
      </c>
      <c r="T33" s="62">
        <f>INT(S33*F344)</f>
        <v>0</v>
      </c>
      <c r="U33" s="62">
        <v>0</v>
      </c>
      <c r="V33" s="62">
        <f>INT(U33*F344)</f>
        <v>0</v>
      </c>
      <c r="W33" s="62">
        <v>0</v>
      </c>
      <c r="X33" s="62">
        <f>INT(W33*F342)</f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1</v>
      </c>
      <c r="AD33" s="62">
        <v>0</v>
      </c>
      <c r="AE33" s="62">
        <v>0</v>
      </c>
      <c r="AF33" s="62">
        <v>1</v>
      </c>
      <c r="AG33" s="62">
        <v>0</v>
      </c>
      <c r="AH33" s="62">
        <v>0</v>
      </c>
      <c r="AI33" s="62">
        <v>0</v>
      </c>
      <c r="AJ33" s="62"/>
      <c r="AK33" s="62"/>
      <c r="AL33" s="62"/>
      <c r="AM33" s="62"/>
      <c r="AN33" s="62"/>
      <c r="AO33" s="62"/>
      <c r="AP33" s="62" t="s">
        <v>481</v>
      </c>
      <c r="AQ33" s="62">
        <v>3</v>
      </c>
      <c r="AR33" s="62" t="s">
        <v>473</v>
      </c>
      <c r="AS33" s="62">
        <v>1</v>
      </c>
      <c r="AT33" s="62" t="s">
        <v>450</v>
      </c>
      <c r="AU33" s="62" t="s">
        <v>450</v>
      </c>
      <c r="AV33" s="62" t="s">
        <v>450</v>
      </c>
      <c r="AW33" s="62">
        <v>0</v>
      </c>
      <c r="AX33" s="62">
        <v>0</v>
      </c>
      <c r="AY33" s="62">
        <v>0</v>
      </c>
      <c r="AZ33" s="62">
        <v>0</v>
      </c>
      <c r="BA33" s="62" t="s">
        <v>451</v>
      </c>
      <c r="BB33" s="62" t="s">
        <v>452</v>
      </c>
      <c r="BC33" s="62" t="s">
        <v>453</v>
      </c>
      <c r="BD33" s="62" t="s">
        <v>454</v>
      </c>
      <c r="BE33" s="62" t="s">
        <v>462</v>
      </c>
      <c r="BF33" s="62" t="s">
        <v>456</v>
      </c>
      <c r="BG33" s="62" t="s">
        <v>456</v>
      </c>
      <c r="BH33" s="62" t="s">
        <v>456</v>
      </c>
      <c r="BI33" s="62" t="s">
        <v>456</v>
      </c>
      <c r="BJ33" s="62" t="s">
        <v>456</v>
      </c>
      <c r="BK33" s="62" t="s">
        <v>456</v>
      </c>
      <c r="BL33" s="62" t="s">
        <v>456</v>
      </c>
      <c r="BM33" s="62">
        <v>2242</v>
      </c>
      <c r="BN33" s="62">
        <v>435</v>
      </c>
      <c r="BO33" s="62">
        <v>846</v>
      </c>
      <c r="BP33" s="62">
        <v>2181</v>
      </c>
      <c r="BQ33" s="62">
        <v>1939</v>
      </c>
      <c r="BR33" s="62">
        <v>0</v>
      </c>
      <c r="BS33" s="62">
        <v>0</v>
      </c>
      <c r="BT33" s="62">
        <v>0</v>
      </c>
      <c r="BU33" s="62">
        <v>0</v>
      </c>
      <c r="BV33" s="62">
        <v>0</v>
      </c>
      <c r="BW33" s="62">
        <v>0</v>
      </c>
      <c r="BX33" s="62">
        <v>0</v>
      </c>
      <c r="BY33" s="62" t="s">
        <v>462</v>
      </c>
      <c r="BZ33" s="62" t="s">
        <v>462</v>
      </c>
      <c r="CA33" s="62" t="s">
        <v>456</v>
      </c>
      <c r="CB33" s="62"/>
      <c r="CC33" s="62">
        <v>1</v>
      </c>
      <c r="CD33" s="62">
        <v>1</v>
      </c>
      <c r="CE33" s="62">
        <v>0</v>
      </c>
      <c r="CF33" s="62"/>
      <c r="CG33" s="62" t="s">
        <v>449</v>
      </c>
    </row>
    <row r="34" s="53" customFormat="1" ht="13.5" spans="1:85">
      <c r="A34" s="62" t="s">
        <v>29</v>
      </c>
      <c r="B34" s="62" t="s">
        <v>530</v>
      </c>
      <c r="C34" s="62">
        <v>13550</v>
      </c>
      <c r="D34" s="62"/>
      <c r="E34" s="62" t="s">
        <v>533</v>
      </c>
      <c r="F34" s="62" t="b">
        <f>IF(COUNTIF(按提示输入属性!D11,E34)&gt;0,TRUE,FALSE)</f>
        <v>0</v>
      </c>
      <c r="G34" s="62"/>
      <c r="H34" s="62"/>
      <c r="I34" s="62"/>
      <c r="J34" s="62"/>
      <c r="K34" s="62">
        <v>0</v>
      </c>
      <c r="L34" s="62">
        <f>INT(K34*F342)</f>
        <v>0</v>
      </c>
      <c r="M34" s="62">
        <v>2876</v>
      </c>
      <c r="N34" s="62">
        <f>INT(M34*F344)</f>
        <v>2945</v>
      </c>
      <c r="O34" s="62">
        <v>3508</v>
      </c>
      <c r="P34" s="62">
        <f>INT(O34*F344)</f>
        <v>3592</v>
      </c>
      <c r="Q34" s="62">
        <v>1846</v>
      </c>
      <c r="R34" s="62">
        <f>INT(Q34*F344)</f>
        <v>1890</v>
      </c>
      <c r="S34" s="62">
        <v>0</v>
      </c>
      <c r="T34" s="62">
        <f>INT(S34*F344)</f>
        <v>0</v>
      </c>
      <c r="U34" s="62">
        <v>2031</v>
      </c>
      <c r="V34" s="62">
        <f>INT(U34*F344)</f>
        <v>2079</v>
      </c>
      <c r="W34" s="62">
        <v>0</v>
      </c>
      <c r="X34" s="62">
        <f>INT(W34*F342)</f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1</v>
      </c>
      <c r="AD34" s="62">
        <v>0</v>
      </c>
      <c r="AE34" s="62">
        <v>0</v>
      </c>
      <c r="AF34" s="62">
        <v>1</v>
      </c>
      <c r="AG34" s="62">
        <v>0</v>
      </c>
      <c r="AH34" s="62">
        <v>0</v>
      </c>
      <c r="AI34" s="62">
        <v>0</v>
      </c>
      <c r="AJ34" s="62"/>
      <c r="AK34" s="62"/>
      <c r="AL34" s="62"/>
      <c r="AM34" s="62"/>
      <c r="AN34" s="62"/>
      <c r="AO34" s="62"/>
      <c r="AP34" s="62" t="s">
        <v>483</v>
      </c>
      <c r="AQ34" s="62">
        <v>3</v>
      </c>
      <c r="AR34" s="62" t="s">
        <v>473</v>
      </c>
      <c r="AS34" s="62">
        <v>1</v>
      </c>
      <c r="AT34" s="62" t="s">
        <v>450</v>
      </c>
      <c r="AU34" s="62" t="s">
        <v>450</v>
      </c>
      <c r="AV34" s="62" t="s">
        <v>450</v>
      </c>
      <c r="AW34" s="62">
        <v>0</v>
      </c>
      <c r="AX34" s="62">
        <v>0</v>
      </c>
      <c r="AY34" s="62">
        <v>0</v>
      </c>
      <c r="AZ34" s="62">
        <v>0</v>
      </c>
      <c r="BA34" s="62" t="s">
        <v>451</v>
      </c>
      <c r="BB34" s="62" t="s">
        <v>452</v>
      </c>
      <c r="BC34" s="62" t="s">
        <v>453</v>
      </c>
      <c r="BD34" s="62" t="s">
        <v>454</v>
      </c>
      <c r="BE34" s="62" t="s">
        <v>455</v>
      </c>
      <c r="BF34" s="62" t="s">
        <v>456</v>
      </c>
      <c r="BG34" s="62" t="s">
        <v>456</v>
      </c>
      <c r="BH34" s="62" t="s">
        <v>456</v>
      </c>
      <c r="BI34" s="62" t="s">
        <v>456</v>
      </c>
      <c r="BJ34" s="62" t="s">
        <v>456</v>
      </c>
      <c r="BK34" s="62" t="s">
        <v>456</v>
      </c>
      <c r="BL34" s="62" t="s">
        <v>456</v>
      </c>
      <c r="BM34" s="62">
        <v>2242</v>
      </c>
      <c r="BN34" s="62">
        <v>435</v>
      </c>
      <c r="BO34" s="62">
        <v>846</v>
      </c>
      <c r="BP34" s="62">
        <v>2181</v>
      </c>
      <c r="BQ34" s="62">
        <v>1939</v>
      </c>
      <c r="BR34" s="62">
        <v>0</v>
      </c>
      <c r="BS34" s="62">
        <v>0</v>
      </c>
      <c r="BT34" s="62">
        <v>0</v>
      </c>
      <c r="BU34" s="62">
        <v>0</v>
      </c>
      <c r="BV34" s="62">
        <v>0</v>
      </c>
      <c r="BW34" s="62">
        <v>0</v>
      </c>
      <c r="BX34" s="62">
        <v>0</v>
      </c>
      <c r="BY34" s="62" t="s">
        <v>452</v>
      </c>
      <c r="BZ34" s="62" t="s">
        <v>452</v>
      </c>
      <c r="CA34" s="62" t="s">
        <v>456</v>
      </c>
      <c r="CB34" s="62"/>
      <c r="CC34" s="62">
        <v>1</v>
      </c>
      <c r="CD34" s="62">
        <v>1</v>
      </c>
      <c r="CE34" s="62">
        <v>0</v>
      </c>
      <c r="CF34" s="62"/>
      <c r="CG34" s="62" t="s">
        <v>449</v>
      </c>
    </row>
    <row r="35" s="53" customFormat="1" ht="13.5" spans="1:85">
      <c r="A35" s="62" t="s">
        <v>29</v>
      </c>
      <c r="B35" s="62" t="s">
        <v>530</v>
      </c>
      <c r="C35" s="62">
        <v>12800</v>
      </c>
      <c r="D35" s="62"/>
      <c r="E35" s="62" t="s">
        <v>534</v>
      </c>
      <c r="F35" s="62" t="b">
        <f>IF(COUNTIF(按提示输入属性!D11,E35)&gt;0,TRUE,FALSE)</f>
        <v>0</v>
      </c>
      <c r="G35" s="62"/>
      <c r="H35" s="62"/>
      <c r="I35" s="62"/>
      <c r="J35" s="62"/>
      <c r="K35" s="62">
        <v>0</v>
      </c>
      <c r="L35" s="62">
        <f>INT(K35*F342)</f>
        <v>0</v>
      </c>
      <c r="M35" s="62">
        <v>3185</v>
      </c>
      <c r="N35" s="62">
        <f>INT(M35*F344)</f>
        <v>3261</v>
      </c>
      <c r="O35" s="62">
        <v>6191</v>
      </c>
      <c r="P35" s="62">
        <f>INT(O35*F344)</f>
        <v>6340</v>
      </c>
      <c r="Q35" s="62">
        <v>0</v>
      </c>
      <c r="R35" s="62">
        <f>INT(Q35*F344)</f>
        <v>0</v>
      </c>
      <c r="S35" s="62">
        <v>0</v>
      </c>
      <c r="T35" s="62">
        <f>INT(S35*F344)</f>
        <v>0</v>
      </c>
      <c r="U35" s="62">
        <v>0</v>
      </c>
      <c r="V35" s="62">
        <f>INT(U35*F344)</f>
        <v>0</v>
      </c>
      <c r="W35" s="62">
        <v>0</v>
      </c>
      <c r="X35" s="62">
        <f>INT(W35*F342)</f>
        <v>0</v>
      </c>
      <c r="Y35" s="62">
        <v>0</v>
      </c>
      <c r="Z35" s="62">
        <v>0</v>
      </c>
      <c r="AA35" s="62">
        <v>0</v>
      </c>
      <c r="AB35" s="62">
        <v>0</v>
      </c>
      <c r="AC35" s="62">
        <v>0</v>
      </c>
      <c r="AD35" s="62">
        <v>1</v>
      </c>
      <c r="AE35" s="62">
        <v>1</v>
      </c>
      <c r="AF35" s="62">
        <v>0</v>
      </c>
      <c r="AG35" s="62">
        <v>0</v>
      </c>
      <c r="AH35" s="62">
        <v>0</v>
      </c>
      <c r="AI35" s="62">
        <v>0</v>
      </c>
      <c r="AJ35" s="62"/>
      <c r="AK35" s="62"/>
      <c r="AL35" s="62"/>
      <c r="AM35" s="62"/>
      <c r="AN35" s="62"/>
      <c r="AO35" s="62"/>
      <c r="AP35" s="62" t="s">
        <v>472</v>
      </c>
      <c r="AQ35" s="62">
        <v>3</v>
      </c>
      <c r="AR35" s="62" t="s">
        <v>473</v>
      </c>
      <c r="AS35" s="62">
        <v>1</v>
      </c>
      <c r="AT35" s="62" t="s">
        <v>450</v>
      </c>
      <c r="AU35" s="62" t="s">
        <v>450</v>
      </c>
      <c r="AV35" s="62" t="s">
        <v>450</v>
      </c>
      <c r="AW35" s="62">
        <v>0</v>
      </c>
      <c r="AX35" s="62">
        <v>0</v>
      </c>
      <c r="AY35" s="62">
        <v>0</v>
      </c>
      <c r="AZ35" s="62">
        <v>0</v>
      </c>
      <c r="BA35" s="62" t="s">
        <v>451</v>
      </c>
      <c r="BB35" s="62" t="s">
        <v>452</v>
      </c>
      <c r="BC35" s="62" t="s">
        <v>453</v>
      </c>
      <c r="BD35" s="62" t="s">
        <v>454</v>
      </c>
      <c r="BE35" s="62" t="s">
        <v>455</v>
      </c>
      <c r="BF35" s="62" t="s">
        <v>456</v>
      </c>
      <c r="BG35" s="62" t="s">
        <v>456</v>
      </c>
      <c r="BH35" s="62" t="s">
        <v>456</v>
      </c>
      <c r="BI35" s="62" t="s">
        <v>456</v>
      </c>
      <c r="BJ35" s="62" t="s">
        <v>456</v>
      </c>
      <c r="BK35" s="62" t="s">
        <v>456</v>
      </c>
      <c r="BL35" s="62" t="s">
        <v>456</v>
      </c>
      <c r="BM35" s="62">
        <v>2242</v>
      </c>
      <c r="BN35" s="62">
        <v>435</v>
      </c>
      <c r="BO35" s="62">
        <v>846</v>
      </c>
      <c r="BP35" s="62">
        <v>2181</v>
      </c>
      <c r="BQ35" s="62">
        <v>1939</v>
      </c>
      <c r="BR35" s="62">
        <v>0</v>
      </c>
      <c r="BS35" s="62">
        <v>0</v>
      </c>
      <c r="BT35" s="62">
        <v>0</v>
      </c>
      <c r="BU35" s="62">
        <v>0</v>
      </c>
      <c r="BV35" s="62">
        <v>0</v>
      </c>
      <c r="BW35" s="62">
        <v>0</v>
      </c>
      <c r="BX35" s="62">
        <v>0</v>
      </c>
      <c r="BY35" s="62" t="s">
        <v>456</v>
      </c>
      <c r="BZ35" s="62" t="s">
        <v>456</v>
      </c>
      <c r="CA35" s="62" t="s">
        <v>456</v>
      </c>
      <c r="CB35" s="62"/>
      <c r="CC35" s="62">
        <v>0</v>
      </c>
      <c r="CD35" s="62">
        <v>0</v>
      </c>
      <c r="CE35" s="62">
        <v>0</v>
      </c>
      <c r="CF35" s="62"/>
      <c r="CG35" s="62" t="s">
        <v>449</v>
      </c>
    </row>
    <row r="36" s="53" customFormat="1" ht="13.5" spans="1:85">
      <c r="A36" s="62" t="s">
        <v>29</v>
      </c>
      <c r="B36" s="62" t="s">
        <v>530</v>
      </c>
      <c r="C36" s="62">
        <v>12800</v>
      </c>
      <c r="D36" s="62"/>
      <c r="E36" s="62" t="s">
        <v>535</v>
      </c>
      <c r="F36" s="62" t="b">
        <f>IF(COUNTIF(按提示输入属性!D11,E36)&gt;0,TRUE,FALSE)</f>
        <v>0</v>
      </c>
      <c r="G36" s="62"/>
      <c r="H36" s="62"/>
      <c r="I36" s="62"/>
      <c r="J36" s="62"/>
      <c r="K36" s="62">
        <v>0</v>
      </c>
      <c r="L36" s="62">
        <f>INT(K36*F342)</f>
        <v>0</v>
      </c>
      <c r="M36" s="62">
        <v>2717</v>
      </c>
      <c r="N36" s="62">
        <f>INT(M36*F344)</f>
        <v>2782</v>
      </c>
      <c r="O36" s="62">
        <v>3575</v>
      </c>
      <c r="P36" s="62">
        <f>INT(O36*F344)</f>
        <v>3661</v>
      </c>
      <c r="Q36" s="62">
        <v>0</v>
      </c>
      <c r="R36" s="62">
        <f>INT(Q36*F344)</f>
        <v>0</v>
      </c>
      <c r="S36" s="62">
        <v>3575</v>
      </c>
      <c r="T36" s="62">
        <f>INT(S36*F344)</f>
        <v>3661</v>
      </c>
      <c r="U36" s="62">
        <v>0</v>
      </c>
      <c r="V36" s="62">
        <f>INT(U36*F344)</f>
        <v>0</v>
      </c>
      <c r="W36" s="62">
        <v>0</v>
      </c>
      <c r="X36" s="62">
        <f>INT(W36*F342)</f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1</v>
      </c>
      <c r="AD36" s="62">
        <v>0</v>
      </c>
      <c r="AE36" s="62">
        <v>0</v>
      </c>
      <c r="AF36" s="62">
        <v>0</v>
      </c>
      <c r="AG36" s="62">
        <v>1</v>
      </c>
      <c r="AH36" s="62">
        <v>0</v>
      </c>
      <c r="AI36" s="62">
        <v>0</v>
      </c>
      <c r="AJ36" s="62"/>
      <c r="AK36" s="62"/>
      <c r="AL36" s="62"/>
      <c r="AM36" s="62"/>
      <c r="AN36" s="62"/>
      <c r="AO36" s="62"/>
      <c r="AP36" s="62" t="s">
        <v>536</v>
      </c>
      <c r="AQ36" s="62">
        <v>3</v>
      </c>
      <c r="AR36" s="62" t="s">
        <v>473</v>
      </c>
      <c r="AS36" s="62">
        <v>1</v>
      </c>
      <c r="AT36" s="62" t="s">
        <v>450</v>
      </c>
      <c r="AU36" s="62" t="s">
        <v>450</v>
      </c>
      <c r="AV36" s="62" t="s">
        <v>450</v>
      </c>
      <c r="AW36" s="62">
        <v>0</v>
      </c>
      <c r="AX36" s="62">
        <v>0</v>
      </c>
      <c r="AY36" s="62">
        <v>0</v>
      </c>
      <c r="AZ36" s="62">
        <v>0</v>
      </c>
      <c r="BA36" s="62" t="s">
        <v>451</v>
      </c>
      <c r="BB36" s="62" t="s">
        <v>452</v>
      </c>
      <c r="BC36" s="62" t="s">
        <v>453</v>
      </c>
      <c r="BD36" s="62" t="s">
        <v>461</v>
      </c>
      <c r="BE36" s="62" t="s">
        <v>462</v>
      </c>
      <c r="BF36" s="62" t="s">
        <v>456</v>
      </c>
      <c r="BG36" s="62" t="s">
        <v>456</v>
      </c>
      <c r="BH36" s="62" t="s">
        <v>456</v>
      </c>
      <c r="BI36" s="62" t="s">
        <v>456</v>
      </c>
      <c r="BJ36" s="62" t="s">
        <v>456</v>
      </c>
      <c r="BK36" s="62" t="s">
        <v>456</v>
      </c>
      <c r="BL36" s="62" t="s">
        <v>456</v>
      </c>
      <c r="BM36" s="62">
        <v>2242</v>
      </c>
      <c r="BN36" s="62">
        <v>435</v>
      </c>
      <c r="BO36" s="62">
        <v>846</v>
      </c>
      <c r="BP36" s="62">
        <v>2181</v>
      </c>
      <c r="BQ36" s="62">
        <v>1939</v>
      </c>
      <c r="BR36" s="62">
        <v>0</v>
      </c>
      <c r="BS36" s="62">
        <v>0</v>
      </c>
      <c r="BT36" s="62">
        <v>0</v>
      </c>
      <c r="BU36" s="62">
        <v>0</v>
      </c>
      <c r="BV36" s="62">
        <v>0</v>
      </c>
      <c r="BW36" s="62">
        <v>0</v>
      </c>
      <c r="BX36" s="62">
        <v>0</v>
      </c>
      <c r="BY36" s="62" t="s">
        <v>454</v>
      </c>
      <c r="BZ36" s="62" t="s">
        <v>454</v>
      </c>
      <c r="CA36" s="62" t="s">
        <v>456</v>
      </c>
      <c r="CB36" s="62"/>
      <c r="CC36" s="62">
        <v>1</v>
      </c>
      <c r="CD36" s="62">
        <v>1</v>
      </c>
      <c r="CE36" s="62">
        <v>0</v>
      </c>
      <c r="CF36" s="62"/>
      <c r="CG36" s="62" t="s">
        <v>449</v>
      </c>
    </row>
    <row r="37" s="53" customFormat="1" ht="13.5" spans="1:85">
      <c r="A37" s="62" t="s">
        <v>29</v>
      </c>
      <c r="B37" s="62" t="s">
        <v>530</v>
      </c>
      <c r="C37" s="62">
        <v>12800</v>
      </c>
      <c r="D37" s="62"/>
      <c r="E37" s="62" t="s">
        <v>537</v>
      </c>
      <c r="F37" s="62" t="b">
        <f>IF(COUNTIF(按提示输入属性!D11,E37)&gt;0,TRUE,FALSE)</f>
        <v>0</v>
      </c>
      <c r="G37" s="62"/>
      <c r="H37" s="62"/>
      <c r="I37" s="62"/>
      <c r="J37" s="62"/>
      <c r="K37" s="62">
        <v>0</v>
      </c>
      <c r="L37" s="62">
        <f>INT(K37*F342)</f>
        <v>0</v>
      </c>
      <c r="M37" s="62">
        <v>2717</v>
      </c>
      <c r="N37" s="62">
        <f>INT(M37*F344)</f>
        <v>2782</v>
      </c>
      <c r="O37" s="62">
        <v>2703</v>
      </c>
      <c r="P37" s="62">
        <f>INT(O37*F344)</f>
        <v>2768</v>
      </c>
      <c r="Q37" s="62">
        <v>1744</v>
      </c>
      <c r="R37" s="62">
        <f>INT(Q37*F344)</f>
        <v>1786</v>
      </c>
      <c r="S37" s="62">
        <v>2529</v>
      </c>
      <c r="T37" s="62">
        <f>INT(S37*F344)</f>
        <v>2589</v>
      </c>
      <c r="U37" s="62">
        <v>0</v>
      </c>
      <c r="V37" s="62">
        <f>INT(U37*F344)</f>
        <v>0</v>
      </c>
      <c r="W37" s="62">
        <v>0</v>
      </c>
      <c r="X37" s="62">
        <f>INT(W37*F342)</f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s="62">
        <v>1</v>
      </c>
      <c r="AG37" s="62">
        <v>1</v>
      </c>
      <c r="AH37" s="62">
        <v>0</v>
      </c>
      <c r="AI37" s="62">
        <v>0</v>
      </c>
      <c r="AJ37" s="62"/>
      <c r="AK37" s="62"/>
      <c r="AL37" s="62"/>
      <c r="AM37" s="62"/>
      <c r="AN37" s="62"/>
      <c r="AO37" s="62"/>
      <c r="AP37" s="62" t="s">
        <v>514</v>
      </c>
      <c r="AQ37" s="62">
        <v>3</v>
      </c>
      <c r="AR37" s="62" t="s">
        <v>473</v>
      </c>
      <c r="AS37" s="62">
        <v>1</v>
      </c>
      <c r="AT37" s="62" t="s">
        <v>450</v>
      </c>
      <c r="AU37" s="62" t="s">
        <v>450</v>
      </c>
      <c r="AV37" s="62" t="s">
        <v>450</v>
      </c>
      <c r="AW37" s="62">
        <v>0</v>
      </c>
      <c r="AX37" s="62">
        <v>0</v>
      </c>
      <c r="AY37" s="62">
        <v>0</v>
      </c>
      <c r="AZ37" s="62">
        <v>0</v>
      </c>
      <c r="BA37" s="62" t="s">
        <v>451</v>
      </c>
      <c r="BB37" s="62" t="s">
        <v>452</v>
      </c>
      <c r="BC37" s="62" t="s">
        <v>453</v>
      </c>
      <c r="BD37" s="62" t="s">
        <v>461</v>
      </c>
      <c r="BE37" s="62" t="s">
        <v>455</v>
      </c>
      <c r="BF37" s="62" t="s">
        <v>456</v>
      </c>
      <c r="BG37" s="62" t="s">
        <v>456</v>
      </c>
      <c r="BH37" s="62" t="s">
        <v>456</v>
      </c>
      <c r="BI37" s="62" t="s">
        <v>456</v>
      </c>
      <c r="BJ37" s="62" t="s">
        <v>456</v>
      </c>
      <c r="BK37" s="62" t="s">
        <v>456</v>
      </c>
      <c r="BL37" s="62" t="s">
        <v>456</v>
      </c>
      <c r="BM37" s="62">
        <v>2242</v>
      </c>
      <c r="BN37" s="62">
        <v>435</v>
      </c>
      <c r="BO37" s="62">
        <v>846</v>
      </c>
      <c r="BP37" s="62">
        <v>2181</v>
      </c>
      <c r="BQ37" s="62">
        <v>1939</v>
      </c>
      <c r="BR37" s="62">
        <v>0</v>
      </c>
      <c r="BS37" s="62">
        <v>0</v>
      </c>
      <c r="BT37" s="62">
        <v>0</v>
      </c>
      <c r="BU37" s="62">
        <v>0</v>
      </c>
      <c r="BV37" s="62">
        <v>0</v>
      </c>
      <c r="BW37" s="62">
        <v>0</v>
      </c>
      <c r="BX37" s="62">
        <v>0</v>
      </c>
      <c r="BY37" s="62" t="s">
        <v>452</v>
      </c>
      <c r="BZ37" s="62" t="s">
        <v>452</v>
      </c>
      <c r="CA37" s="62" t="s">
        <v>456</v>
      </c>
      <c r="CB37" s="62"/>
      <c r="CC37" s="62">
        <v>1</v>
      </c>
      <c r="CD37" s="62">
        <v>1</v>
      </c>
      <c r="CE37" s="62">
        <v>0</v>
      </c>
      <c r="CF37" s="62"/>
      <c r="CG37" s="62" t="s">
        <v>449</v>
      </c>
    </row>
    <row r="38" s="52" customFormat="1" ht="13.5" spans="1:85">
      <c r="A38" s="61" t="s">
        <v>29</v>
      </c>
      <c r="B38" s="61" t="s">
        <v>538</v>
      </c>
      <c r="C38" s="61">
        <v>12600</v>
      </c>
      <c r="D38" s="61"/>
      <c r="E38" s="61" t="s">
        <v>539</v>
      </c>
      <c r="F38" s="61" t="b">
        <f>IF(COUNTIF(按提示输入属性!D11,E38)&gt;0,TRUE,FALSE)</f>
        <v>0</v>
      </c>
      <c r="G38" s="61"/>
      <c r="H38" s="61"/>
      <c r="I38" s="61"/>
      <c r="J38" s="61"/>
      <c r="K38" s="61">
        <v>616</v>
      </c>
      <c r="L38" s="61">
        <f>INT(K38*F342)</f>
        <v>662</v>
      </c>
      <c r="M38" s="61">
        <v>1199</v>
      </c>
      <c r="N38" s="61">
        <f>INT(M38*F342)</f>
        <v>1289</v>
      </c>
      <c r="O38" s="61">
        <v>0</v>
      </c>
      <c r="P38" s="61">
        <f>INT(O38*F342)</f>
        <v>0</v>
      </c>
      <c r="Q38" s="61">
        <v>0</v>
      </c>
      <c r="R38" s="61">
        <f>INT(Q38*F342)</f>
        <v>0</v>
      </c>
      <c r="S38" s="61">
        <v>3090</v>
      </c>
      <c r="T38" s="61">
        <f>INT(S38*F342)</f>
        <v>3322</v>
      </c>
      <c r="U38" s="61">
        <v>2747</v>
      </c>
      <c r="V38" s="61">
        <f>INT(U38*F342)</f>
        <v>2953</v>
      </c>
      <c r="W38" s="61">
        <v>0</v>
      </c>
      <c r="X38" s="61">
        <f>INT(W38*F342)</f>
        <v>0</v>
      </c>
      <c r="Y38" s="61">
        <v>0</v>
      </c>
      <c r="Z38" s="61">
        <v>0</v>
      </c>
      <c r="AA38" s="61">
        <v>0</v>
      </c>
      <c r="AB38" s="61">
        <v>0</v>
      </c>
      <c r="AC38" s="61">
        <v>1</v>
      </c>
      <c r="AD38" s="61">
        <v>0</v>
      </c>
      <c r="AE38" s="61">
        <v>0</v>
      </c>
      <c r="AF38" s="61">
        <v>1</v>
      </c>
      <c r="AG38" s="61">
        <v>0</v>
      </c>
      <c r="AH38" s="61">
        <v>0</v>
      </c>
      <c r="AI38" s="61">
        <v>0</v>
      </c>
      <c r="AJ38" s="61">
        <v>1</v>
      </c>
      <c r="AK38" s="61"/>
      <c r="AL38" s="61"/>
      <c r="AM38" s="61"/>
      <c r="AN38" s="61"/>
      <c r="AO38" s="61"/>
      <c r="AP38" s="61" t="s">
        <v>465</v>
      </c>
      <c r="AQ38" s="61">
        <v>6</v>
      </c>
      <c r="AR38" s="61" t="s">
        <v>503</v>
      </c>
      <c r="AS38" s="61">
        <v>1</v>
      </c>
      <c r="AT38" s="61" t="s">
        <v>450</v>
      </c>
      <c r="AU38" s="61" t="s">
        <v>450</v>
      </c>
      <c r="AV38" s="61" t="s">
        <v>450</v>
      </c>
      <c r="AW38" s="61">
        <v>3176</v>
      </c>
      <c r="AX38" s="61">
        <v>0</v>
      </c>
      <c r="AY38" s="61">
        <v>0</v>
      </c>
      <c r="AZ38" s="61">
        <v>0</v>
      </c>
      <c r="BA38" s="61" t="s">
        <v>451</v>
      </c>
      <c r="BB38" s="61" t="s">
        <v>452</v>
      </c>
      <c r="BC38" s="61" t="s">
        <v>453</v>
      </c>
      <c r="BD38" s="61" t="s">
        <v>461</v>
      </c>
      <c r="BE38" s="61" t="s">
        <v>462</v>
      </c>
      <c r="BF38" s="61" t="s">
        <v>456</v>
      </c>
      <c r="BG38" s="61" t="s">
        <v>456</v>
      </c>
      <c r="BH38" s="61" t="s">
        <v>456</v>
      </c>
      <c r="BI38" s="61" t="s">
        <v>456</v>
      </c>
      <c r="BJ38" s="61" t="s">
        <v>456</v>
      </c>
      <c r="BK38" s="61" t="s">
        <v>456</v>
      </c>
      <c r="BL38" s="61" t="s">
        <v>456</v>
      </c>
      <c r="BM38" s="61">
        <v>2242</v>
      </c>
      <c r="BN38" s="61">
        <v>435</v>
      </c>
      <c r="BO38" s="61">
        <v>846</v>
      </c>
      <c r="BP38" s="61">
        <v>2181</v>
      </c>
      <c r="BQ38" s="61">
        <v>1939</v>
      </c>
      <c r="BR38" s="61">
        <v>0</v>
      </c>
      <c r="BS38" s="61">
        <v>0</v>
      </c>
      <c r="BT38" s="61">
        <v>0</v>
      </c>
      <c r="BU38" s="61">
        <v>0</v>
      </c>
      <c r="BV38" s="61">
        <v>0</v>
      </c>
      <c r="BW38" s="61">
        <v>0</v>
      </c>
      <c r="BX38" s="61">
        <v>0</v>
      </c>
      <c r="BY38" s="61" t="s">
        <v>456</v>
      </c>
      <c r="BZ38" s="61" t="s">
        <v>456</v>
      </c>
      <c r="CA38" s="61" t="s">
        <v>456</v>
      </c>
      <c r="CB38" s="61"/>
      <c r="CC38" s="61">
        <v>0</v>
      </c>
      <c r="CD38" s="61">
        <v>0</v>
      </c>
      <c r="CE38" s="61">
        <v>0</v>
      </c>
      <c r="CF38" s="61"/>
      <c r="CG38" s="61" t="s">
        <v>449</v>
      </c>
    </row>
    <row r="39" s="52" customFormat="1" ht="13.5" spans="1:85">
      <c r="A39" s="61" t="s">
        <v>29</v>
      </c>
      <c r="B39" s="61" t="s">
        <v>540</v>
      </c>
      <c r="C39" s="61">
        <v>12450</v>
      </c>
      <c r="D39" s="61"/>
      <c r="E39" s="61" t="s">
        <v>541</v>
      </c>
      <c r="F39" s="61" t="b">
        <f>IF(COUNTIF(按提示输入属性!D11,E39)&gt;0,TRUE,FALSE)</f>
        <v>0</v>
      </c>
      <c r="G39" s="61"/>
      <c r="H39" s="61"/>
      <c r="I39" s="61"/>
      <c r="J39" s="61"/>
      <c r="K39" s="61">
        <v>609</v>
      </c>
      <c r="L39" s="61">
        <f>INT(K39*F342)+1</f>
        <v>655</v>
      </c>
      <c r="M39" s="61">
        <v>1185</v>
      </c>
      <c r="N39" s="61">
        <f>INT(M39*F342)</f>
        <v>1274</v>
      </c>
      <c r="O39" s="61">
        <v>3053</v>
      </c>
      <c r="P39" s="61">
        <f>INT(O39*F342)</f>
        <v>3282</v>
      </c>
      <c r="Q39" s="61">
        <v>0</v>
      </c>
      <c r="R39" s="61">
        <f>INT(Q39*F342)</f>
        <v>0</v>
      </c>
      <c r="S39" s="61">
        <v>0</v>
      </c>
      <c r="T39" s="61">
        <f>INT(S39*F342)</f>
        <v>0</v>
      </c>
      <c r="U39" s="61">
        <v>0</v>
      </c>
      <c r="V39" s="61">
        <f>INT(U39*F342)</f>
        <v>0</v>
      </c>
      <c r="W39" s="61">
        <v>2714</v>
      </c>
      <c r="X39" s="61">
        <f>INT(W39*F342)</f>
        <v>2918</v>
      </c>
      <c r="Y39" s="61">
        <v>0</v>
      </c>
      <c r="Z39" s="61">
        <v>0</v>
      </c>
      <c r="AA39" s="61">
        <v>0</v>
      </c>
      <c r="AB39" s="61">
        <v>0</v>
      </c>
      <c r="AC39" s="61">
        <v>1</v>
      </c>
      <c r="AD39" s="61">
        <v>1</v>
      </c>
      <c r="AE39" s="61">
        <v>0</v>
      </c>
      <c r="AF39" s="61">
        <v>0</v>
      </c>
      <c r="AG39" s="61">
        <v>0</v>
      </c>
      <c r="AH39" s="61">
        <v>0</v>
      </c>
      <c r="AI39" s="61">
        <v>0</v>
      </c>
      <c r="AJ39" s="61"/>
      <c r="AK39" s="61"/>
      <c r="AL39" s="61"/>
      <c r="AM39" s="61"/>
      <c r="AN39" s="61"/>
      <c r="AO39" s="61"/>
      <c r="AP39" s="61" t="s">
        <v>460</v>
      </c>
      <c r="AQ39" s="61">
        <v>6</v>
      </c>
      <c r="AR39" s="61" t="s">
        <v>449</v>
      </c>
      <c r="AS39" s="61">
        <v>1</v>
      </c>
      <c r="AT39" s="61" t="s">
        <v>450</v>
      </c>
      <c r="AU39" s="61" t="s">
        <v>450</v>
      </c>
      <c r="AV39" s="61" t="s">
        <v>450</v>
      </c>
      <c r="AW39" s="61">
        <v>3138</v>
      </c>
      <c r="AX39" s="61">
        <v>0</v>
      </c>
      <c r="AY39" s="61">
        <v>0</v>
      </c>
      <c r="AZ39" s="61">
        <v>0</v>
      </c>
      <c r="BA39" s="61" t="s">
        <v>451</v>
      </c>
      <c r="BB39" s="61" t="s">
        <v>452</v>
      </c>
      <c r="BC39" s="61" t="s">
        <v>453</v>
      </c>
      <c r="BD39" s="61" t="s">
        <v>454</v>
      </c>
      <c r="BE39" s="61" t="s">
        <v>462</v>
      </c>
      <c r="BF39" s="61" t="s">
        <v>456</v>
      </c>
      <c r="BG39" s="61" t="s">
        <v>456</v>
      </c>
      <c r="BH39" s="61" t="s">
        <v>456</v>
      </c>
      <c r="BI39" s="61" t="s">
        <v>456</v>
      </c>
      <c r="BJ39" s="61" t="s">
        <v>456</v>
      </c>
      <c r="BK39" s="61" t="s">
        <v>456</v>
      </c>
      <c r="BL39" s="61" t="s">
        <v>456</v>
      </c>
      <c r="BM39" s="61">
        <v>2242</v>
      </c>
      <c r="BN39" s="61">
        <v>435</v>
      </c>
      <c r="BO39" s="61">
        <v>846</v>
      </c>
      <c r="BP39" s="61">
        <v>2181</v>
      </c>
      <c r="BQ39" s="61">
        <v>1939</v>
      </c>
      <c r="BR39" s="61">
        <v>0</v>
      </c>
      <c r="BS39" s="61">
        <v>0</v>
      </c>
      <c r="BT39" s="61">
        <v>0</v>
      </c>
      <c r="BU39" s="61">
        <v>0</v>
      </c>
      <c r="BV39" s="61">
        <v>0</v>
      </c>
      <c r="BW39" s="61">
        <v>0</v>
      </c>
      <c r="BX39" s="61">
        <v>0</v>
      </c>
      <c r="BY39" s="61" t="s">
        <v>454</v>
      </c>
      <c r="BZ39" s="61" t="s">
        <v>454</v>
      </c>
      <c r="CA39" s="61" t="s">
        <v>456</v>
      </c>
      <c r="CB39" s="61"/>
      <c r="CC39" s="61">
        <v>1</v>
      </c>
      <c r="CD39" s="61">
        <v>1</v>
      </c>
      <c r="CE39" s="61">
        <v>0</v>
      </c>
      <c r="CF39" s="61"/>
      <c r="CG39" s="61" t="s">
        <v>449</v>
      </c>
    </row>
    <row r="40" s="52" customFormat="1" ht="13.5" spans="1:85">
      <c r="A40" s="61" t="s">
        <v>29</v>
      </c>
      <c r="B40" s="61" t="s">
        <v>542</v>
      </c>
      <c r="C40" s="61">
        <v>12450</v>
      </c>
      <c r="D40" s="61"/>
      <c r="E40" s="61" t="s">
        <v>543</v>
      </c>
      <c r="F40" s="61" t="b">
        <f>IF(COUNTIF(按提示输入属性!D11,E40)&gt;0,TRUE,FALSE)</f>
        <v>0</v>
      </c>
      <c r="G40" s="61"/>
      <c r="H40" s="61"/>
      <c r="I40" s="61"/>
      <c r="J40" s="61"/>
      <c r="K40" s="61">
        <v>609</v>
      </c>
      <c r="L40" s="61">
        <f>INT(K40*F342)+1</f>
        <v>655</v>
      </c>
      <c r="M40" s="61">
        <v>1185</v>
      </c>
      <c r="N40" s="61">
        <f>INT(M40*F342)</f>
        <v>1274</v>
      </c>
      <c r="O40" s="61">
        <v>0</v>
      </c>
      <c r="P40" s="61">
        <f>INT(O40*F342)</f>
        <v>0</v>
      </c>
      <c r="Q40" s="61">
        <v>0</v>
      </c>
      <c r="R40" s="61">
        <f>INT(Q40*F342)</f>
        <v>0</v>
      </c>
      <c r="S40" s="61">
        <v>3053</v>
      </c>
      <c r="T40" s="61">
        <f>INT(S40*F342)</f>
        <v>3282</v>
      </c>
      <c r="U40" s="61">
        <v>0</v>
      </c>
      <c r="V40" s="61">
        <f>INT(U40*F342)</f>
        <v>0</v>
      </c>
      <c r="W40" s="61">
        <v>2714</v>
      </c>
      <c r="X40" s="61">
        <f>INT(W40*F342)</f>
        <v>2918</v>
      </c>
      <c r="Y40" s="61">
        <v>0</v>
      </c>
      <c r="Z40" s="61">
        <v>0</v>
      </c>
      <c r="AA40" s="61">
        <v>0</v>
      </c>
      <c r="AB40" s="61">
        <v>1</v>
      </c>
      <c r="AC40" s="61">
        <v>0</v>
      </c>
      <c r="AD40" s="61">
        <v>0</v>
      </c>
      <c r="AE40" s="61">
        <v>0</v>
      </c>
      <c r="AF40" s="61">
        <v>0</v>
      </c>
      <c r="AG40" s="61">
        <v>0</v>
      </c>
      <c r="AH40" s="61">
        <v>1</v>
      </c>
      <c r="AI40" s="61">
        <v>0</v>
      </c>
      <c r="AJ40" s="61"/>
      <c r="AK40" s="61"/>
      <c r="AL40" s="61"/>
      <c r="AM40" s="61"/>
      <c r="AN40" s="61"/>
      <c r="AO40" s="61"/>
      <c r="AP40" s="61" t="s">
        <v>486</v>
      </c>
      <c r="AQ40" s="61">
        <v>6</v>
      </c>
      <c r="AR40" s="61" t="s">
        <v>449</v>
      </c>
      <c r="AS40" s="61">
        <v>1</v>
      </c>
      <c r="AT40" s="61" t="s">
        <v>450</v>
      </c>
      <c r="AU40" s="61" t="s">
        <v>450</v>
      </c>
      <c r="AV40" s="61" t="s">
        <v>450</v>
      </c>
      <c r="AW40" s="61">
        <v>3138</v>
      </c>
      <c r="AX40" s="61">
        <v>0</v>
      </c>
      <c r="AY40" s="61">
        <v>0</v>
      </c>
      <c r="AZ40" s="61">
        <v>0</v>
      </c>
      <c r="BA40" s="61" t="s">
        <v>451</v>
      </c>
      <c r="BB40" s="61" t="s">
        <v>453</v>
      </c>
      <c r="BC40" s="61" t="s">
        <v>462</v>
      </c>
      <c r="BD40" s="61" t="s">
        <v>456</v>
      </c>
      <c r="BE40" s="61" t="s">
        <v>456</v>
      </c>
      <c r="BF40" s="61" t="s">
        <v>456</v>
      </c>
      <c r="BG40" s="61" t="s">
        <v>456</v>
      </c>
      <c r="BH40" s="61" t="s">
        <v>456</v>
      </c>
      <c r="BI40" s="61" t="s">
        <v>456</v>
      </c>
      <c r="BJ40" s="61" t="s">
        <v>456</v>
      </c>
      <c r="BK40" s="61" t="s">
        <v>456</v>
      </c>
      <c r="BL40" s="61" t="s">
        <v>456</v>
      </c>
      <c r="BM40" s="61">
        <v>2242</v>
      </c>
      <c r="BN40" s="61">
        <v>2213</v>
      </c>
      <c r="BO40" s="61">
        <v>4059</v>
      </c>
      <c r="BP40" s="61">
        <v>0</v>
      </c>
      <c r="BQ40" s="61">
        <v>0</v>
      </c>
      <c r="BR40" s="61">
        <v>0</v>
      </c>
      <c r="BS40" s="61">
        <v>0</v>
      </c>
      <c r="BT40" s="61">
        <v>0</v>
      </c>
      <c r="BU40" s="61">
        <v>0</v>
      </c>
      <c r="BV40" s="61">
        <v>0</v>
      </c>
      <c r="BW40" s="61">
        <v>0</v>
      </c>
      <c r="BX40" s="61">
        <v>0</v>
      </c>
      <c r="BY40" s="61" t="s">
        <v>456</v>
      </c>
      <c r="BZ40" s="61" t="s">
        <v>456</v>
      </c>
      <c r="CA40" s="61" t="s">
        <v>456</v>
      </c>
      <c r="CB40" s="61"/>
      <c r="CC40" s="61">
        <v>0</v>
      </c>
      <c r="CD40" s="61">
        <v>0</v>
      </c>
      <c r="CE40" s="61">
        <v>0</v>
      </c>
      <c r="CF40" s="61"/>
      <c r="CG40" s="61" t="s">
        <v>449</v>
      </c>
    </row>
    <row r="41" s="54" customFormat="1" ht="13.5" spans="1:85">
      <c r="A41" s="63" t="s">
        <v>29</v>
      </c>
      <c r="B41" s="63" t="s">
        <v>544</v>
      </c>
      <c r="C41" s="63">
        <v>12450</v>
      </c>
      <c r="D41" s="63"/>
      <c r="E41" s="63" t="s">
        <v>545</v>
      </c>
      <c r="F41" s="63" t="b">
        <f>IF(COUNTIF(按提示输入属性!D11,E41)&gt;0,TRUE,FALSE)</f>
        <v>0</v>
      </c>
      <c r="G41" s="63"/>
      <c r="H41" s="63"/>
      <c r="I41" s="63"/>
      <c r="J41" s="63"/>
      <c r="K41" s="63">
        <v>0</v>
      </c>
      <c r="L41" s="63">
        <f>INT(K41*F342)</f>
        <v>0</v>
      </c>
      <c r="M41" s="63">
        <v>2552</v>
      </c>
      <c r="N41" s="63">
        <f>INT(M41*F343)</f>
        <v>2649</v>
      </c>
      <c r="O41" s="63">
        <v>0</v>
      </c>
      <c r="P41" s="61">
        <f>INT(O41*F343)</f>
        <v>0</v>
      </c>
      <c r="Q41" s="63">
        <v>0</v>
      </c>
      <c r="R41" s="61">
        <f>INT(Q41*F342)</f>
        <v>0</v>
      </c>
      <c r="S41" s="63">
        <v>3223</v>
      </c>
      <c r="T41" s="61">
        <f>INT(S41*F343)</f>
        <v>3345</v>
      </c>
      <c r="U41" s="63">
        <v>3562</v>
      </c>
      <c r="V41" s="61">
        <f>INT(U41*F343)</f>
        <v>3697</v>
      </c>
      <c r="W41" s="63">
        <v>0</v>
      </c>
      <c r="X41" s="61">
        <f>INT(W41*F343)</f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1</v>
      </c>
      <c r="AD41" s="63">
        <v>1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/>
      <c r="AK41" s="63"/>
      <c r="AL41" s="63"/>
      <c r="AM41" s="63"/>
      <c r="AN41" s="63"/>
      <c r="AO41" s="63"/>
      <c r="AP41" s="63" t="s">
        <v>521</v>
      </c>
      <c r="AQ41" s="63">
        <v>4</v>
      </c>
      <c r="AR41" s="63" t="s">
        <v>449</v>
      </c>
      <c r="AS41" s="63">
        <v>1</v>
      </c>
      <c r="AT41" s="63" t="s">
        <v>450</v>
      </c>
      <c r="AU41" s="63" t="s">
        <v>450</v>
      </c>
      <c r="AV41" s="63" t="s">
        <v>450</v>
      </c>
      <c r="AW41" s="63">
        <v>3138</v>
      </c>
      <c r="AX41" s="63">
        <v>0</v>
      </c>
      <c r="AY41" s="63">
        <v>0</v>
      </c>
      <c r="AZ41" s="63">
        <v>0</v>
      </c>
      <c r="BA41" s="63" t="s">
        <v>451</v>
      </c>
      <c r="BB41" s="63" t="s">
        <v>453</v>
      </c>
      <c r="BC41" s="63" t="s">
        <v>455</v>
      </c>
      <c r="BD41" s="63" t="s">
        <v>454</v>
      </c>
      <c r="BE41" s="63" t="s">
        <v>456</v>
      </c>
      <c r="BF41" s="63" t="s">
        <v>456</v>
      </c>
      <c r="BG41" s="63" t="s">
        <v>456</v>
      </c>
      <c r="BH41" s="63" t="s">
        <v>456</v>
      </c>
      <c r="BI41" s="63" t="s">
        <v>456</v>
      </c>
      <c r="BJ41" s="63" t="s">
        <v>456</v>
      </c>
      <c r="BK41" s="63" t="s">
        <v>456</v>
      </c>
      <c r="BL41" s="63" t="s">
        <v>456</v>
      </c>
      <c r="BM41" s="63">
        <v>2242</v>
      </c>
      <c r="BN41" s="63">
        <v>1823</v>
      </c>
      <c r="BO41" s="63">
        <v>2545</v>
      </c>
      <c r="BP41" s="63">
        <v>2302</v>
      </c>
      <c r="BQ41" s="63">
        <v>0</v>
      </c>
      <c r="BR41" s="63">
        <v>0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 t="s">
        <v>456</v>
      </c>
      <c r="BZ41" s="63" t="s">
        <v>456</v>
      </c>
      <c r="CA41" s="63" t="s">
        <v>456</v>
      </c>
      <c r="CB41" s="63"/>
      <c r="CC41" s="63">
        <v>0</v>
      </c>
      <c r="CD41" s="63">
        <v>0</v>
      </c>
      <c r="CE41" s="63">
        <v>0</v>
      </c>
      <c r="CF41" s="63"/>
      <c r="CG41" s="63" t="s">
        <v>449</v>
      </c>
    </row>
    <row r="42" s="54" customFormat="1" ht="13.5" spans="1:85">
      <c r="A42" s="63" t="s">
        <v>29</v>
      </c>
      <c r="B42" s="63" t="s">
        <v>546</v>
      </c>
      <c r="C42" s="63">
        <v>12450</v>
      </c>
      <c r="D42" s="63"/>
      <c r="E42" s="63" t="s">
        <v>547</v>
      </c>
      <c r="F42" s="63" t="b">
        <f>IF(COUNTIF(按提示输入属性!D11,E42)&gt;0,TRUE,FALSE)</f>
        <v>0</v>
      </c>
      <c r="G42" s="63"/>
      <c r="H42" s="63"/>
      <c r="I42" s="63"/>
      <c r="J42" s="63"/>
      <c r="K42" s="63">
        <v>0</v>
      </c>
      <c r="L42" s="63">
        <f>INT(K42*F342)</f>
        <v>0</v>
      </c>
      <c r="M42" s="63">
        <v>2552</v>
      </c>
      <c r="N42" s="63">
        <f>INT(M42*F343)</f>
        <v>2649</v>
      </c>
      <c r="O42" s="63">
        <v>0</v>
      </c>
      <c r="P42" s="61">
        <f>INT(O42*F343)</f>
        <v>0</v>
      </c>
      <c r="Q42" s="63">
        <v>0</v>
      </c>
      <c r="R42" s="61">
        <f>INT(Q42*F342)</f>
        <v>0</v>
      </c>
      <c r="S42" s="63">
        <v>3223</v>
      </c>
      <c r="T42" s="61">
        <f>INT(S42*F343)</f>
        <v>3345</v>
      </c>
      <c r="U42" s="63">
        <v>0</v>
      </c>
      <c r="V42" s="61">
        <f>INT(U42*F343)</f>
        <v>0</v>
      </c>
      <c r="W42" s="63">
        <v>3562</v>
      </c>
      <c r="X42" s="61">
        <f>INT(W42*F343)</f>
        <v>3697</v>
      </c>
      <c r="Y42" s="63">
        <v>0</v>
      </c>
      <c r="Z42" s="63">
        <v>0</v>
      </c>
      <c r="AA42" s="63">
        <v>0</v>
      </c>
      <c r="AB42" s="63">
        <v>0</v>
      </c>
      <c r="AC42" s="63">
        <v>1</v>
      </c>
      <c r="AD42" s="63">
        <v>0</v>
      </c>
      <c r="AE42" s="63">
        <v>0</v>
      </c>
      <c r="AF42" s="63">
        <v>0</v>
      </c>
      <c r="AG42" s="63">
        <v>1</v>
      </c>
      <c r="AH42" s="63">
        <v>0</v>
      </c>
      <c r="AI42" s="63">
        <v>0</v>
      </c>
      <c r="AJ42" s="63"/>
      <c r="AK42" s="63"/>
      <c r="AL42" s="63"/>
      <c r="AM42" s="63"/>
      <c r="AN42" s="63"/>
      <c r="AO42" s="63"/>
      <c r="AP42" s="63" t="s">
        <v>548</v>
      </c>
      <c r="AQ42" s="63">
        <v>4</v>
      </c>
      <c r="AR42" s="63" t="s">
        <v>449</v>
      </c>
      <c r="AS42" s="63">
        <v>1</v>
      </c>
      <c r="AT42" s="63" t="s">
        <v>450</v>
      </c>
      <c r="AU42" s="63" t="s">
        <v>450</v>
      </c>
      <c r="AV42" s="63" t="s">
        <v>450</v>
      </c>
      <c r="AW42" s="63">
        <v>3138</v>
      </c>
      <c r="AX42" s="63">
        <v>0</v>
      </c>
      <c r="AY42" s="63">
        <v>0</v>
      </c>
      <c r="AZ42" s="63">
        <v>0</v>
      </c>
      <c r="BA42" s="63" t="s">
        <v>451</v>
      </c>
      <c r="BB42" s="63" t="s">
        <v>453</v>
      </c>
      <c r="BC42" s="63" t="s">
        <v>487</v>
      </c>
      <c r="BD42" s="63" t="s">
        <v>462</v>
      </c>
      <c r="BE42" s="63" t="s">
        <v>456</v>
      </c>
      <c r="BF42" s="63" t="s">
        <v>456</v>
      </c>
      <c r="BG42" s="63" t="s">
        <v>456</v>
      </c>
      <c r="BH42" s="63" t="s">
        <v>456</v>
      </c>
      <c r="BI42" s="63" t="s">
        <v>456</v>
      </c>
      <c r="BJ42" s="63" t="s">
        <v>456</v>
      </c>
      <c r="BK42" s="63" t="s">
        <v>456</v>
      </c>
      <c r="BL42" s="63" t="s">
        <v>456</v>
      </c>
      <c r="BM42" s="63">
        <v>2242</v>
      </c>
      <c r="BN42" s="63">
        <v>1562</v>
      </c>
      <c r="BO42" s="63">
        <v>1575</v>
      </c>
      <c r="BP42" s="63">
        <v>3877</v>
      </c>
      <c r="BQ42" s="63">
        <v>0</v>
      </c>
      <c r="BR42" s="63">
        <v>0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0</v>
      </c>
      <c r="BY42" s="63" t="s">
        <v>456</v>
      </c>
      <c r="BZ42" s="63" t="s">
        <v>456</v>
      </c>
      <c r="CA42" s="63" t="s">
        <v>456</v>
      </c>
      <c r="CB42" s="63"/>
      <c r="CC42" s="63">
        <v>0</v>
      </c>
      <c r="CD42" s="63">
        <v>0</v>
      </c>
      <c r="CE42" s="63">
        <v>0</v>
      </c>
      <c r="CF42" s="63"/>
      <c r="CG42" s="63" t="s">
        <v>449</v>
      </c>
    </row>
    <row r="43" s="54" customFormat="1" ht="13.5" spans="1:85">
      <c r="A43" s="63" t="s">
        <v>29</v>
      </c>
      <c r="B43" s="63" t="s">
        <v>549</v>
      </c>
      <c r="C43" s="63">
        <v>12450</v>
      </c>
      <c r="D43" s="63"/>
      <c r="E43" s="63" t="s">
        <v>550</v>
      </c>
      <c r="F43" s="63" t="b">
        <f>IF(COUNTIF(按提示输入属性!D11,E43)&gt;0,TRUE,FALSE)</f>
        <v>0</v>
      </c>
      <c r="G43" s="63"/>
      <c r="H43" s="63"/>
      <c r="I43" s="63"/>
      <c r="J43" s="63"/>
      <c r="K43" s="63">
        <v>0</v>
      </c>
      <c r="L43" s="63">
        <f>INT(K43*F342)</f>
        <v>0</v>
      </c>
      <c r="M43" s="63">
        <v>2187</v>
      </c>
      <c r="N43" s="63">
        <f>INT(M43*F343)</f>
        <v>2270</v>
      </c>
      <c r="O43" s="63">
        <v>2205</v>
      </c>
      <c r="P43" s="63">
        <f>INT(O43*F343)</f>
        <v>2288</v>
      </c>
      <c r="Q43" s="63">
        <v>0</v>
      </c>
      <c r="R43" s="63">
        <f>INT(Q43*F342)</f>
        <v>0</v>
      </c>
      <c r="S43" s="63">
        <v>0</v>
      </c>
      <c r="T43" s="63">
        <f>INT(S43*F343)</f>
        <v>0</v>
      </c>
      <c r="U43" s="63">
        <v>0</v>
      </c>
      <c r="V43" s="63">
        <f>INT(U43*F343)</f>
        <v>0</v>
      </c>
      <c r="W43" s="63">
        <v>5428</v>
      </c>
      <c r="X43" s="63">
        <f>INT(W43*F343)</f>
        <v>5634</v>
      </c>
      <c r="Y43" s="63">
        <v>0</v>
      </c>
      <c r="Z43" s="63">
        <v>0</v>
      </c>
      <c r="AA43" s="63">
        <v>0</v>
      </c>
      <c r="AB43" s="63">
        <v>0</v>
      </c>
      <c r="AC43" s="63">
        <v>1</v>
      </c>
      <c r="AD43" s="63">
        <v>0</v>
      </c>
      <c r="AE43" s="63">
        <v>0</v>
      </c>
      <c r="AF43" s="63">
        <v>0</v>
      </c>
      <c r="AG43" s="63">
        <v>1</v>
      </c>
      <c r="AH43" s="63">
        <v>0</v>
      </c>
      <c r="AI43" s="63">
        <v>0</v>
      </c>
      <c r="AJ43" s="63"/>
      <c r="AK43" s="63"/>
      <c r="AL43" s="63"/>
      <c r="AM43" s="63"/>
      <c r="AN43" s="63"/>
      <c r="AO43" s="63"/>
      <c r="AP43" s="63" t="s">
        <v>551</v>
      </c>
      <c r="AQ43" s="63">
        <v>4</v>
      </c>
      <c r="AR43" s="63" t="s">
        <v>449</v>
      </c>
      <c r="AS43" s="63">
        <v>1</v>
      </c>
      <c r="AT43" s="63" t="s">
        <v>450</v>
      </c>
      <c r="AU43" s="63" t="s">
        <v>450</v>
      </c>
      <c r="AV43" s="63" t="s">
        <v>450</v>
      </c>
      <c r="AW43" s="63">
        <v>3138</v>
      </c>
      <c r="AX43" s="63">
        <v>0</v>
      </c>
      <c r="AY43" s="63">
        <v>0</v>
      </c>
      <c r="AZ43" s="63">
        <v>0</v>
      </c>
      <c r="BA43" s="63" t="s">
        <v>451</v>
      </c>
      <c r="BB43" s="63" t="s">
        <v>453</v>
      </c>
      <c r="BC43" s="63" t="s">
        <v>454</v>
      </c>
      <c r="BD43" s="63" t="s">
        <v>462</v>
      </c>
      <c r="BE43" s="63" t="s">
        <v>456</v>
      </c>
      <c r="BF43" s="63" t="s">
        <v>456</v>
      </c>
      <c r="BG43" s="63" t="s">
        <v>456</v>
      </c>
      <c r="BH43" s="63" t="s">
        <v>456</v>
      </c>
      <c r="BI43" s="63" t="s">
        <v>456</v>
      </c>
      <c r="BJ43" s="63" t="s">
        <v>456</v>
      </c>
      <c r="BK43" s="63" t="s">
        <v>456</v>
      </c>
      <c r="BL43" s="63" t="s">
        <v>456</v>
      </c>
      <c r="BM43" s="63">
        <v>2242</v>
      </c>
      <c r="BN43" s="63">
        <v>1823</v>
      </c>
      <c r="BO43" s="63">
        <v>2302</v>
      </c>
      <c r="BP43" s="63">
        <v>2545</v>
      </c>
      <c r="BQ43" s="63">
        <v>0</v>
      </c>
      <c r="BR43" s="63">
        <v>0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 t="s">
        <v>456</v>
      </c>
      <c r="BZ43" s="63" t="s">
        <v>456</v>
      </c>
      <c r="CA43" s="63" t="s">
        <v>456</v>
      </c>
      <c r="CB43" s="63"/>
      <c r="CC43" s="63">
        <v>0</v>
      </c>
      <c r="CD43" s="63">
        <v>0</v>
      </c>
      <c r="CE43" s="63">
        <v>0</v>
      </c>
      <c r="CF43" s="63"/>
      <c r="CG43" s="63" t="s">
        <v>449</v>
      </c>
    </row>
    <row r="44" s="54" customFormat="1" ht="13.5" spans="1:85">
      <c r="A44" s="63" t="s">
        <v>29</v>
      </c>
      <c r="B44" s="63" t="s">
        <v>552</v>
      </c>
      <c r="C44" s="63">
        <v>12450</v>
      </c>
      <c r="D44" s="63"/>
      <c r="E44" s="63" t="s">
        <v>553</v>
      </c>
      <c r="F44" s="63" t="b">
        <f>IF(COUNTIF(按提示输入属性!D11,E44)&gt;0,TRUE,FALSE)</f>
        <v>0</v>
      </c>
      <c r="G44" s="63"/>
      <c r="H44" s="63"/>
      <c r="I44" s="63"/>
      <c r="J44" s="63"/>
      <c r="K44" s="63">
        <v>0</v>
      </c>
      <c r="L44" s="63">
        <f>INT(K44*F342)</f>
        <v>0</v>
      </c>
      <c r="M44" s="63">
        <v>3098</v>
      </c>
      <c r="N44" s="63">
        <f>INT(M44*F343)</f>
        <v>3215</v>
      </c>
      <c r="O44" s="63">
        <v>0</v>
      </c>
      <c r="P44" s="61">
        <f>INT(O44*F343)</f>
        <v>0</v>
      </c>
      <c r="Q44" s="63">
        <v>0</v>
      </c>
      <c r="R44" s="61">
        <f>INT(Q44*F342)</f>
        <v>0</v>
      </c>
      <c r="S44" s="63">
        <v>0</v>
      </c>
      <c r="T44" s="61">
        <f>INT(S44*F343)</f>
        <v>0</v>
      </c>
      <c r="U44" s="63">
        <v>5683</v>
      </c>
      <c r="V44" s="61">
        <f>INT(U44*F343)</f>
        <v>5899</v>
      </c>
      <c r="W44" s="63">
        <v>0</v>
      </c>
      <c r="X44" s="61">
        <f>INT(W44*F343)</f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1</v>
      </c>
      <c r="AE44" s="63">
        <v>0</v>
      </c>
      <c r="AF44" s="63">
        <v>0</v>
      </c>
      <c r="AG44" s="63">
        <v>1</v>
      </c>
      <c r="AH44" s="63">
        <v>0</v>
      </c>
      <c r="AI44" s="63">
        <v>0</v>
      </c>
      <c r="AJ44" s="63"/>
      <c r="AK44" s="63"/>
      <c r="AL44" s="63"/>
      <c r="AM44" s="63"/>
      <c r="AN44" s="63"/>
      <c r="AO44" s="63"/>
      <c r="AP44" s="63" t="s">
        <v>554</v>
      </c>
      <c r="AQ44" s="63">
        <v>4</v>
      </c>
      <c r="AR44" s="63" t="s">
        <v>449</v>
      </c>
      <c r="AS44" s="63">
        <v>1</v>
      </c>
      <c r="AT44" s="63" t="s">
        <v>450</v>
      </c>
      <c r="AU44" s="63" t="s">
        <v>450</v>
      </c>
      <c r="AV44" s="63" t="s">
        <v>450</v>
      </c>
      <c r="AW44" s="63">
        <v>3138</v>
      </c>
      <c r="AX44" s="63">
        <v>0</v>
      </c>
      <c r="AY44" s="63">
        <v>0</v>
      </c>
      <c r="AZ44" s="63">
        <v>0</v>
      </c>
      <c r="BA44" s="63" t="s">
        <v>451</v>
      </c>
      <c r="BB44" s="63" t="s">
        <v>452</v>
      </c>
      <c r="BC44" s="63" t="s">
        <v>453</v>
      </c>
      <c r="BD44" s="63" t="s">
        <v>454</v>
      </c>
      <c r="BE44" s="63" t="s">
        <v>462</v>
      </c>
      <c r="BF44" s="63" t="s">
        <v>456</v>
      </c>
      <c r="BG44" s="63" t="s">
        <v>456</v>
      </c>
      <c r="BH44" s="63" t="s">
        <v>456</v>
      </c>
      <c r="BI44" s="63" t="s">
        <v>456</v>
      </c>
      <c r="BJ44" s="63" t="s">
        <v>456</v>
      </c>
      <c r="BK44" s="63" t="s">
        <v>456</v>
      </c>
      <c r="BL44" s="63" t="s">
        <v>456</v>
      </c>
      <c r="BM44" s="63">
        <v>2242</v>
      </c>
      <c r="BN44" s="63">
        <v>435</v>
      </c>
      <c r="BO44" s="63">
        <v>846</v>
      </c>
      <c r="BP44" s="63">
        <v>2181</v>
      </c>
      <c r="BQ44" s="63">
        <v>1939</v>
      </c>
      <c r="BR44" s="63">
        <v>0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 t="s">
        <v>456</v>
      </c>
      <c r="BZ44" s="63" t="s">
        <v>456</v>
      </c>
      <c r="CA44" s="63" t="s">
        <v>456</v>
      </c>
      <c r="CB44" s="63"/>
      <c r="CC44" s="63">
        <v>0</v>
      </c>
      <c r="CD44" s="63">
        <v>0</v>
      </c>
      <c r="CE44" s="63">
        <v>0</v>
      </c>
      <c r="CF44" s="63"/>
      <c r="CG44" s="63" t="s">
        <v>500</v>
      </c>
    </row>
    <row r="45" s="52" customFormat="1" ht="13.5" spans="1:85">
      <c r="A45" s="61" t="s">
        <v>29</v>
      </c>
      <c r="B45" s="61" t="s">
        <v>555</v>
      </c>
      <c r="C45" s="61">
        <v>12450</v>
      </c>
      <c r="D45" s="61"/>
      <c r="E45" s="61" t="s">
        <v>556</v>
      </c>
      <c r="F45" s="61" t="b">
        <f>IF(COUNTIF(按提示输入属性!D11,E45)&gt;0,TRUE,FALSE)</f>
        <v>0</v>
      </c>
      <c r="G45" s="61"/>
      <c r="H45" s="61"/>
      <c r="I45" s="61"/>
      <c r="J45" s="61"/>
      <c r="K45" s="61">
        <v>609</v>
      </c>
      <c r="L45" s="61">
        <f>INT(K45*F342)+1</f>
        <v>655</v>
      </c>
      <c r="M45" s="61">
        <v>1185</v>
      </c>
      <c r="N45" s="61">
        <f>INT(M45*F342)</f>
        <v>1274</v>
      </c>
      <c r="O45" s="61">
        <v>0</v>
      </c>
      <c r="P45" s="61">
        <f>INT(O45*F342)</f>
        <v>0</v>
      </c>
      <c r="Q45" s="61">
        <v>0</v>
      </c>
      <c r="R45" s="61">
        <f>INT(Q45*F342)</f>
        <v>0</v>
      </c>
      <c r="S45" s="61">
        <v>3053</v>
      </c>
      <c r="T45" s="61">
        <f>INT(S45*F342)</f>
        <v>3282</v>
      </c>
      <c r="U45" s="61">
        <v>2714</v>
      </c>
      <c r="V45" s="61">
        <f>INT(U45*F342)</f>
        <v>2918</v>
      </c>
      <c r="W45" s="61">
        <v>0</v>
      </c>
      <c r="X45" s="61">
        <f>INT(W45*F342)</f>
        <v>0</v>
      </c>
      <c r="Y45" s="61">
        <v>0</v>
      </c>
      <c r="Z45" s="61">
        <v>0</v>
      </c>
      <c r="AA45" s="61">
        <v>0</v>
      </c>
      <c r="AB45" s="61">
        <v>0</v>
      </c>
      <c r="AC45" s="61">
        <v>1</v>
      </c>
      <c r="AD45" s="61">
        <v>0</v>
      </c>
      <c r="AE45" s="61">
        <v>0</v>
      </c>
      <c r="AF45" s="61">
        <v>1</v>
      </c>
      <c r="AG45" s="61">
        <v>0</v>
      </c>
      <c r="AH45" s="61">
        <v>0</v>
      </c>
      <c r="AI45" s="61">
        <v>0</v>
      </c>
      <c r="AJ45" s="61"/>
      <c r="AK45" s="61"/>
      <c r="AL45" s="61"/>
      <c r="AM45" s="61"/>
      <c r="AN45" s="61"/>
      <c r="AO45" s="61"/>
      <c r="AP45" s="61" t="s">
        <v>465</v>
      </c>
      <c r="AQ45" s="61">
        <v>6</v>
      </c>
      <c r="AR45" s="61" t="s">
        <v>524</v>
      </c>
      <c r="AS45" s="61">
        <v>1</v>
      </c>
      <c r="AT45" s="61" t="s">
        <v>450</v>
      </c>
      <c r="AU45" s="61" t="s">
        <v>450</v>
      </c>
      <c r="AV45" s="61" t="s">
        <v>450</v>
      </c>
      <c r="AW45" s="61">
        <v>3138</v>
      </c>
      <c r="AX45" s="61">
        <v>0</v>
      </c>
      <c r="AY45" s="61">
        <v>0</v>
      </c>
      <c r="AZ45" s="61">
        <v>0</v>
      </c>
      <c r="BA45" s="61" t="s">
        <v>451</v>
      </c>
      <c r="BB45" s="61" t="s">
        <v>452</v>
      </c>
      <c r="BC45" s="61" t="s">
        <v>453</v>
      </c>
      <c r="BD45" s="61" t="s">
        <v>461</v>
      </c>
      <c r="BE45" s="61" t="s">
        <v>455</v>
      </c>
      <c r="BF45" s="61" t="s">
        <v>456</v>
      </c>
      <c r="BG45" s="61" t="s">
        <v>456</v>
      </c>
      <c r="BH45" s="61" t="s">
        <v>456</v>
      </c>
      <c r="BI45" s="61" t="s">
        <v>456</v>
      </c>
      <c r="BJ45" s="61" t="s">
        <v>456</v>
      </c>
      <c r="BK45" s="61" t="s">
        <v>456</v>
      </c>
      <c r="BL45" s="61" t="s">
        <v>456</v>
      </c>
      <c r="BM45" s="61">
        <v>2242</v>
      </c>
      <c r="BN45" s="61">
        <v>435</v>
      </c>
      <c r="BO45" s="61">
        <v>846</v>
      </c>
      <c r="BP45" s="61">
        <v>2181</v>
      </c>
      <c r="BQ45" s="61">
        <v>1939</v>
      </c>
      <c r="BR45" s="61">
        <v>0</v>
      </c>
      <c r="BS45" s="61">
        <v>0</v>
      </c>
      <c r="BT45" s="61">
        <v>0</v>
      </c>
      <c r="BU45" s="61">
        <v>0</v>
      </c>
      <c r="BV45" s="61">
        <v>0</v>
      </c>
      <c r="BW45" s="61">
        <v>0</v>
      </c>
      <c r="BX45" s="61">
        <v>0</v>
      </c>
      <c r="BY45" s="61" t="s">
        <v>454</v>
      </c>
      <c r="BZ45" s="61" t="s">
        <v>454</v>
      </c>
      <c r="CA45" s="61" t="s">
        <v>456</v>
      </c>
      <c r="CB45" s="61"/>
      <c r="CC45" s="61">
        <v>1</v>
      </c>
      <c r="CD45" s="61">
        <v>1</v>
      </c>
      <c r="CE45" s="61">
        <v>0</v>
      </c>
      <c r="CF45" s="61"/>
      <c r="CG45" s="61" t="s">
        <v>557</v>
      </c>
    </row>
    <row r="46" s="52" customFormat="1" ht="13.5" spans="1:85">
      <c r="A46" s="61" t="s">
        <v>29</v>
      </c>
      <c r="B46" s="61" t="s">
        <v>558</v>
      </c>
      <c r="C46" s="61">
        <v>12450</v>
      </c>
      <c r="D46" s="61"/>
      <c r="E46" s="61" t="s">
        <v>559</v>
      </c>
      <c r="F46" s="61" t="b">
        <f>IF(COUNTIF(按提示输入属性!D11,E46)&gt;0,TRUE,FALSE)</f>
        <v>0</v>
      </c>
      <c r="G46" s="61"/>
      <c r="H46" s="61"/>
      <c r="I46" s="61"/>
      <c r="J46" s="61"/>
      <c r="K46" s="61">
        <v>609</v>
      </c>
      <c r="L46" s="61">
        <f>INT(K46*F342)+1</f>
        <v>655</v>
      </c>
      <c r="M46" s="61">
        <v>1185</v>
      </c>
      <c r="N46" s="61">
        <f>INT(M46*F342)</f>
        <v>1274</v>
      </c>
      <c r="O46" s="61">
        <v>3053</v>
      </c>
      <c r="P46" s="61">
        <f>INT(O46*F342)</f>
        <v>3282</v>
      </c>
      <c r="Q46" s="61">
        <v>0</v>
      </c>
      <c r="R46" s="61">
        <f>INT(Q46*F342)</f>
        <v>0</v>
      </c>
      <c r="S46" s="61">
        <v>0</v>
      </c>
      <c r="T46" s="61">
        <f>INT(S46*F342)</f>
        <v>0</v>
      </c>
      <c r="U46" s="61">
        <v>2714</v>
      </c>
      <c r="V46" s="61">
        <f>INT(U46*F342)</f>
        <v>2918</v>
      </c>
      <c r="W46" s="61">
        <v>0</v>
      </c>
      <c r="X46" s="61">
        <f>INT(W46*F342)</f>
        <v>0</v>
      </c>
      <c r="Y46" s="61">
        <v>0</v>
      </c>
      <c r="Z46" s="61">
        <v>0</v>
      </c>
      <c r="AA46" s="61">
        <v>0</v>
      </c>
      <c r="AB46" s="61">
        <v>1</v>
      </c>
      <c r="AC46" s="61">
        <v>1</v>
      </c>
      <c r="AD46" s="61">
        <v>0</v>
      </c>
      <c r="AE46" s="61">
        <v>0</v>
      </c>
      <c r="AF46" s="61">
        <v>0</v>
      </c>
      <c r="AG46" s="61">
        <v>0</v>
      </c>
      <c r="AH46" s="61">
        <v>0</v>
      </c>
      <c r="AI46" s="61">
        <v>0</v>
      </c>
      <c r="AJ46" s="61"/>
      <c r="AK46" s="61"/>
      <c r="AL46" s="61"/>
      <c r="AM46" s="61"/>
      <c r="AN46" s="61"/>
      <c r="AO46" s="61"/>
      <c r="AP46" s="61" t="s">
        <v>468</v>
      </c>
      <c r="AQ46" s="61">
        <v>6</v>
      </c>
      <c r="AR46" s="61" t="s">
        <v>469</v>
      </c>
      <c r="AS46" s="61">
        <v>1</v>
      </c>
      <c r="AT46" s="61" t="s">
        <v>450</v>
      </c>
      <c r="AU46" s="61" t="s">
        <v>450</v>
      </c>
      <c r="AV46" s="61" t="s">
        <v>450</v>
      </c>
      <c r="AW46" s="61">
        <v>3138</v>
      </c>
      <c r="AX46" s="61">
        <v>0</v>
      </c>
      <c r="AY46" s="61">
        <v>0</v>
      </c>
      <c r="AZ46" s="61">
        <v>0</v>
      </c>
      <c r="BA46" s="61" t="s">
        <v>451</v>
      </c>
      <c r="BB46" s="61" t="s">
        <v>452</v>
      </c>
      <c r="BC46" s="61" t="s">
        <v>453</v>
      </c>
      <c r="BD46" s="61" t="s">
        <v>461</v>
      </c>
      <c r="BE46" s="61" t="s">
        <v>455</v>
      </c>
      <c r="BF46" s="61" t="s">
        <v>456</v>
      </c>
      <c r="BG46" s="61" t="s">
        <v>456</v>
      </c>
      <c r="BH46" s="61" t="s">
        <v>456</v>
      </c>
      <c r="BI46" s="61" t="s">
        <v>456</v>
      </c>
      <c r="BJ46" s="61" t="s">
        <v>456</v>
      </c>
      <c r="BK46" s="61" t="s">
        <v>456</v>
      </c>
      <c r="BL46" s="61" t="s">
        <v>456</v>
      </c>
      <c r="BM46" s="61">
        <v>2242</v>
      </c>
      <c r="BN46" s="61">
        <v>435</v>
      </c>
      <c r="BO46" s="61">
        <v>846</v>
      </c>
      <c r="BP46" s="61">
        <v>2181</v>
      </c>
      <c r="BQ46" s="61">
        <v>1939</v>
      </c>
      <c r="BR46" s="61">
        <v>0</v>
      </c>
      <c r="BS46" s="61">
        <v>0</v>
      </c>
      <c r="BT46" s="61">
        <v>0</v>
      </c>
      <c r="BU46" s="61">
        <v>0</v>
      </c>
      <c r="BV46" s="61">
        <v>0</v>
      </c>
      <c r="BW46" s="61">
        <v>0</v>
      </c>
      <c r="BX46" s="61">
        <v>0</v>
      </c>
      <c r="BY46" s="61" t="s">
        <v>452</v>
      </c>
      <c r="BZ46" s="61" t="s">
        <v>452</v>
      </c>
      <c r="CA46" s="61" t="s">
        <v>456</v>
      </c>
      <c r="CB46" s="61"/>
      <c r="CC46" s="61">
        <v>1</v>
      </c>
      <c r="CD46" s="61">
        <v>1</v>
      </c>
      <c r="CE46" s="61">
        <v>0</v>
      </c>
      <c r="CF46" s="61"/>
      <c r="CG46" s="61" t="s">
        <v>557</v>
      </c>
    </row>
    <row r="47" s="52" customFormat="1" ht="13.5" spans="1:85">
      <c r="A47" s="61" t="s">
        <v>29</v>
      </c>
      <c r="B47" s="61" t="s">
        <v>560</v>
      </c>
      <c r="C47" s="61">
        <v>12450</v>
      </c>
      <c r="D47" s="61"/>
      <c r="E47" s="61" t="s">
        <v>561</v>
      </c>
      <c r="F47" s="61" t="b">
        <f>IF(COUNTIF(按提示输入属性!D11,E47)&gt;0,TRUE,FALSE)</f>
        <v>0</v>
      </c>
      <c r="G47" s="61"/>
      <c r="H47" s="61"/>
      <c r="I47" s="61"/>
      <c r="J47" s="61"/>
      <c r="K47" s="61">
        <v>609</v>
      </c>
      <c r="L47" s="61">
        <f>INT(K47*F342)+1</f>
        <v>655</v>
      </c>
      <c r="M47" s="61">
        <v>1185</v>
      </c>
      <c r="N47" s="61">
        <f>INT(M47*F342)</f>
        <v>1274</v>
      </c>
      <c r="O47" s="61">
        <v>3053</v>
      </c>
      <c r="P47" s="61">
        <f>INT(O47*F342)</f>
        <v>3282</v>
      </c>
      <c r="Q47" s="61">
        <v>0</v>
      </c>
      <c r="R47" s="61">
        <f>INT(Q47*F342)</f>
        <v>0</v>
      </c>
      <c r="S47" s="61">
        <v>0</v>
      </c>
      <c r="T47" s="61">
        <f>INT(S47*F342)</f>
        <v>0</v>
      </c>
      <c r="U47" s="61">
        <v>2714</v>
      </c>
      <c r="V47" s="61">
        <f>INT(U47*F342)</f>
        <v>2918</v>
      </c>
      <c r="W47" s="61">
        <v>0</v>
      </c>
      <c r="X47" s="61">
        <f>INT(W47*F342)</f>
        <v>0</v>
      </c>
      <c r="Y47" s="61">
        <v>0</v>
      </c>
      <c r="Z47" s="61">
        <v>0</v>
      </c>
      <c r="AA47" s="61">
        <v>0</v>
      </c>
      <c r="AB47" s="61">
        <v>1</v>
      </c>
      <c r="AC47" s="61">
        <v>1</v>
      </c>
      <c r="AD47" s="61">
        <v>0</v>
      </c>
      <c r="AE47" s="61">
        <v>0</v>
      </c>
      <c r="AF47" s="61">
        <v>0</v>
      </c>
      <c r="AG47" s="61">
        <v>0</v>
      </c>
      <c r="AH47" s="61">
        <v>0</v>
      </c>
      <c r="AI47" s="61">
        <v>0</v>
      </c>
      <c r="AJ47" s="61"/>
      <c r="AK47" s="61"/>
      <c r="AL47" s="61"/>
      <c r="AM47" s="61"/>
      <c r="AN47" s="61"/>
      <c r="AO47" s="61"/>
      <c r="AP47" s="61" t="s">
        <v>468</v>
      </c>
      <c r="AQ47" s="61">
        <v>6</v>
      </c>
      <c r="AR47" s="61" t="s">
        <v>499</v>
      </c>
      <c r="AS47" s="61">
        <v>1</v>
      </c>
      <c r="AT47" s="61" t="s">
        <v>450</v>
      </c>
      <c r="AU47" s="61" t="s">
        <v>450</v>
      </c>
      <c r="AV47" s="61" t="s">
        <v>450</v>
      </c>
      <c r="AW47" s="61">
        <v>3138</v>
      </c>
      <c r="AX47" s="61">
        <v>0</v>
      </c>
      <c r="AY47" s="61">
        <v>0</v>
      </c>
      <c r="AZ47" s="61">
        <v>0</v>
      </c>
      <c r="BA47" s="61" t="s">
        <v>451</v>
      </c>
      <c r="BB47" s="61" t="s">
        <v>452</v>
      </c>
      <c r="BC47" s="61" t="s">
        <v>453</v>
      </c>
      <c r="BD47" s="61" t="s">
        <v>461</v>
      </c>
      <c r="BE47" s="61" t="s">
        <v>455</v>
      </c>
      <c r="BF47" s="61" t="s">
        <v>456</v>
      </c>
      <c r="BG47" s="61" t="s">
        <v>456</v>
      </c>
      <c r="BH47" s="61" t="s">
        <v>456</v>
      </c>
      <c r="BI47" s="61" t="s">
        <v>456</v>
      </c>
      <c r="BJ47" s="61" t="s">
        <v>456</v>
      </c>
      <c r="BK47" s="61" t="s">
        <v>456</v>
      </c>
      <c r="BL47" s="61" t="s">
        <v>456</v>
      </c>
      <c r="BM47" s="61">
        <v>2242</v>
      </c>
      <c r="BN47" s="61">
        <v>435</v>
      </c>
      <c r="BO47" s="61">
        <v>846</v>
      </c>
      <c r="BP47" s="61">
        <v>2181</v>
      </c>
      <c r="BQ47" s="61">
        <v>1939</v>
      </c>
      <c r="BR47" s="61">
        <v>0</v>
      </c>
      <c r="BS47" s="61">
        <v>0</v>
      </c>
      <c r="BT47" s="61">
        <v>0</v>
      </c>
      <c r="BU47" s="61">
        <v>0</v>
      </c>
      <c r="BV47" s="61">
        <v>0</v>
      </c>
      <c r="BW47" s="61">
        <v>0</v>
      </c>
      <c r="BX47" s="61">
        <v>0</v>
      </c>
      <c r="BY47" s="61" t="s">
        <v>456</v>
      </c>
      <c r="BZ47" s="61" t="s">
        <v>456</v>
      </c>
      <c r="CA47" s="61" t="s">
        <v>456</v>
      </c>
      <c r="CB47" s="61"/>
      <c r="CC47" s="61">
        <v>0</v>
      </c>
      <c r="CD47" s="61">
        <v>0</v>
      </c>
      <c r="CE47" s="61">
        <v>0</v>
      </c>
      <c r="CF47" s="61"/>
      <c r="CG47" s="61" t="s">
        <v>557</v>
      </c>
    </row>
    <row r="48" s="52" customFormat="1" ht="13.5" spans="1:85">
      <c r="A48" s="61" t="s">
        <v>29</v>
      </c>
      <c r="B48" s="61" t="s">
        <v>562</v>
      </c>
      <c r="C48" s="61">
        <v>12300</v>
      </c>
      <c r="D48" s="61"/>
      <c r="E48" s="61" t="s">
        <v>563</v>
      </c>
      <c r="F48" s="61" t="b">
        <f>IF(COUNTIF(按提示输入属性!D11,E48)&gt;0,TRUE,FALSE)</f>
        <v>0</v>
      </c>
      <c r="G48" s="61"/>
      <c r="H48" s="61"/>
      <c r="I48" s="61"/>
      <c r="J48" s="61"/>
      <c r="K48" s="61">
        <v>601</v>
      </c>
      <c r="L48" s="61">
        <f>INT(K48*F342)</f>
        <v>646</v>
      </c>
      <c r="M48" s="61">
        <v>1170</v>
      </c>
      <c r="N48" s="61">
        <f>INT(M48*F342)</f>
        <v>1258</v>
      </c>
      <c r="O48" s="61">
        <v>3017</v>
      </c>
      <c r="P48" s="61">
        <f>INT(O48*F342)</f>
        <v>3243</v>
      </c>
      <c r="Q48" s="61">
        <v>0</v>
      </c>
      <c r="R48" s="61">
        <f>INT(Q48*F342)</f>
        <v>0</v>
      </c>
      <c r="S48" s="61">
        <v>0</v>
      </c>
      <c r="T48" s="61">
        <f>INT(S48*F342)</f>
        <v>0</v>
      </c>
      <c r="U48" s="61">
        <v>2681</v>
      </c>
      <c r="V48" s="61">
        <f>INT(U48*F342)</f>
        <v>2882</v>
      </c>
      <c r="W48" s="61">
        <v>0</v>
      </c>
      <c r="X48" s="61">
        <f>INT(W48*F342)</f>
        <v>0</v>
      </c>
      <c r="Y48" s="61">
        <v>0</v>
      </c>
      <c r="Z48" s="61">
        <v>0</v>
      </c>
      <c r="AA48" s="61">
        <v>0</v>
      </c>
      <c r="AB48" s="61">
        <v>1</v>
      </c>
      <c r="AC48" s="61">
        <v>1</v>
      </c>
      <c r="AD48" s="61">
        <v>0</v>
      </c>
      <c r="AE48" s="61">
        <v>0</v>
      </c>
      <c r="AF48" s="61">
        <v>0</v>
      </c>
      <c r="AG48" s="61">
        <v>0</v>
      </c>
      <c r="AH48" s="61">
        <v>0</v>
      </c>
      <c r="AI48" s="61">
        <v>0</v>
      </c>
      <c r="AJ48" s="61"/>
      <c r="AK48" s="61"/>
      <c r="AL48" s="61">
        <v>1</v>
      </c>
      <c r="AM48" s="61"/>
      <c r="AN48" s="61"/>
      <c r="AO48" s="61"/>
      <c r="AP48" s="61" t="s">
        <v>468</v>
      </c>
      <c r="AQ48" s="61">
        <v>6</v>
      </c>
      <c r="AR48" s="61" t="s">
        <v>529</v>
      </c>
      <c r="AS48" s="61">
        <v>1</v>
      </c>
      <c r="AT48" s="61" t="s">
        <v>450</v>
      </c>
      <c r="AU48" s="61" t="s">
        <v>450</v>
      </c>
      <c r="AV48" s="61" t="s">
        <v>450</v>
      </c>
      <c r="AW48" s="61">
        <v>3100</v>
      </c>
      <c r="AX48" s="61">
        <v>0</v>
      </c>
      <c r="AY48" s="61">
        <v>0</v>
      </c>
      <c r="AZ48" s="61">
        <v>0</v>
      </c>
      <c r="BA48" s="61" t="s">
        <v>451</v>
      </c>
      <c r="BB48" s="61" t="s">
        <v>452</v>
      </c>
      <c r="BC48" s="61" t="s">
        <v>453</v>
      </c>
      <c r="BD48" s="61" t="s">
        <v>454</v>
      </c>
      <c r="BE48" s="61" t="s">
        <v>455</v>
      </c>
      <c r="BF48" s="61" t="s">
        <v>456</v>
      </c>
      <c r="BG48" s="61" t="s">
        <v>456</v>
      </c>
      <c r="BH48" s="61" t="s">
        <v>456</v>
      </c>
      <c r="BI48" s="61" t="s">
        <v>456</v>
      </c>
      <c r="BJ48" s="61" t="s">
        <v>456</v>
      </c>
      <c r="BK48" s="61" t="s">
        <v>456</v>
      </c>
      <c r="BL48" s="61" t="s">
        <v>456</v>
      </c>
      <c r="BM48" s="61">
        <v>2242</v>
      </c>
      <c r="BN48" s="61">
        <v>435</v>
      </c>
      <c r="BO48" s="61">
        <v>846</v>
      </c>
      <c r="BP48" s="61">
        <v>2181</v>
      </c>
      <c r="BQ48" s="61">
        <v>1939</v>
      </c>
      <c r="BR48" s="61">
        <v>0</v>
      </c>
      <c r="BS48" s="61">
        <v>0</v>
      </c>
      <c r="BT48" s="61">
        <v>0</v>
      </c>
      <c r="BU48" s="61">
        <v>0</v>
      </c>
      <c r="BV48" s="61">
        <v>0</v>
      </c>
      <c r="BW48" s="61">
        <v>0</v>
      </c>
      <c r="BX48" s="61">
        <v>0</v>
      </c>
      <c r="BY48" s="61" t="s">
        <v>453</v>
      </c>
      <c r="BZ48" s="61" t="s">
        <v>453</v>
      </c>
      <c r="CA48" s="61" t="s">
        <v>456</v>
      </c>
      <c r="CB48" s="61"/>
      <c r="CC48" s="61">
        <v>1</v>
      </c>
      <c r="CD48" s="61">
        <v>1</v>
      </c>
      <c r="CE48" s="61">
        <v>0</v>
      </c>
      <c r="CF48" s="61"/>
      <c r="CG48" s="61" t="s">
        <v>458</v>
      </c>
    </row>
    <row r="49" s="52" customFormat="1" ht="13.5" spans="1:8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>
        <f>INT(K49*F342)</f>
        <v>0</v>
      </c>
      <c r="M49" s="61"/>
      <c r="N49" s="61">
        <f>INT(M49*F342)</f>
        <v>0</v>
      </c>
      <c r="O49" s="61"/>
      <c r="P49" s="61">
        <f>INT(O49*F342)</f>
        <v>0</v>
      </c>
      <c r="Q49" s="61"/>
      <c r="R49" s="61">
        <f>INT(Q49*F342)</f>
        <v>0</v>
      </c>
      <c r="S49" s="61"/>
      <c r="T49" s="61">
        <f>INT(S49*F342)</f>
        <v>0</v>
      </c>
      <c r="U49" s="61"/>
      <c r="V49" s="61">
        <f>INT(U49*F342)</f>
        <v>0</v>
      </c>
      <c r="W49" s="61"/>
      <c r="X49" s="61">
        <f>INT(W49*F342)</f>
        <v>0</v>
      </c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</row>
    <row r="50" s="52" customFormat="1" ht="13.5" spans="1:85">
      <c r="A50" s="61" t="s">
        <v>45</v>
      </c>
      <c r="B50" s="61" t="s">
        <v>564</v>
      </c>
      <c r="C50" s="61">
        <v>13950</v>
      </c>
      <c r="D50" s="61"/>
      <c r="E50" s="61" t="s">
        <v>249</v>
      </c>
      <c r="F50" s="61" t="b">
        <f>IF(COUNTIF(按提示输入属性!D16,E50)&gt;0,TRUE,FALSE)</f>
        <v>0</v>
      </c>
      <c r="G50" s="61"/>
      <c r="H50" s="61"/>
      <c r="I50" s="61"/>
      <c r="J50" s="61"/>
      <c r="K50" s="61">
        <v>487</v>
      </c>
      <c r="L50" s="61">
        <f>INT(K50*F342)</f>
        <v>523</v>
      </c>
      <c r="M50" s="61">
        <v>948</v>
      </c>
      <c r="N50" s="61">
        <f>INT(M50*F342)</f>
        <v>1019</v>
      </c>
      <c r="O50" s="61">
        <v>0</v>
      </c>
      <c r="P50" s="61">
        <f>INT(O50*F342)</f>
        <v>0</v>
      </c>
      <c r="Q50" s="61">
        <v>0</v>
      </c>
      <c r="R50" s="61">
        <f>INT(Q50*F342)</f>
        <v>0</v>
      </c>
      <c r="S50" s="61">
        <v>2444</v>
      </c>
      <c r="T50" s="61">
        <f>INT(S50*F342)</f>
        <v>2627</v>
      </c>
      <c r="U50" s="61">
        <v>2172</v>
      </c>
      <c r="V50" s="61">
        <f>INT(U50*F342)</f>
        <v>2335</v>
      </c>
      <c r="W50" s="61">
        <v>0</v>
      </c>
      <c r="X50" s="61">
        <f>INT(W50*F342)</f>
        <v>0</v>
      </c>
      <c r="Y50" s="61">
        <v>0</v>
      </c>
      <c r="Z50" s="61">
        <v>0</v>
      </c>
      <c r="AA50" s="61">
        <v>0</v>
      </c>
      <c r="AB50" s="61">
        <v>0</v>
      </c>
      <c r="AC50" s="61">
        <v>0</v>
      </c>
      <c r="AD50" s="61">
        <v>0</v>
      </c>
      <c r="AE50" s="61">
        <v>0</v>
      </c>
      <c r="AF50" s="61">
        <v>0</v>
      </c>
      <c r="AG50" s="61">
        <v>0</v>
      </c>
      <c r="AH50" s="61">
        <v>0</v>
      </c>
      <c r="AI50" s="61">
        <v>0</v>
      </c>
      <c r="AJ50" s="61"/>
      <c r="AK50" s="61"/>
      <c r="AL50" s="61"/>
      <c r="AM50" s="61"/>
      <c r="AN50" s="61"/>
      <c r="AO50" s="61"/>
      <c r="AP50" s="61" t="s">
        <v>465</v>
      </c>
      <c r="AQ50" s="61">
        <v>6</v>
      </c>
      <c r="AR50" s="61" t="s">
        <v>449</v>
      </c>
      <c r="AS50" s="61">
        <v>1</v>
      </c>
      <c r="AT50" s="61" t="s">
        <v>450</v>
      </c>
      <c r="AU50" s="61" t="s">
        <v>450</v>
      </c>
      <c r="AV50" s="61" t="s">
        <v>450</v>
      </c>
      <c r="AW50" s="61">
        <v>2512</v>
      </c>
      <c r="AX50" s="61">
        <v>0</v>
      </c>
      <c r="AY50" s="61">
        <v>0</v>
      </c>
      <c r="AZ50" s="61">
        <v>0</v>
      </c>
      <c r="BA50" s="61" t="s">
        <v>453</v>
      </c>
      <c r="BB50" s="61" t="s">
        <v>454</v>
      </c>
      <c r="BC50" s="61" t="s">
        <v>456</v>
      </c>
      <c r="BD50" s="61" t="s">
        <v>456</v>
      </c>
      <c r="BE50" s="61" t="s">
        <v>456</v>
      </c>
      <c r="BF50" s="61" t="s">
        <v>456</v>
      </c>
      <c r="BG50" s="61" t="s">
        <v>456</v>
      </c>
      <c r="BH50" s="61" t="s">
        <v>456</v>
      </c>
      <c r="BI50" s="61" t="s">
        <v>456</v>
      </c>
      <c r="BJ50" s="61" t="s">
        <v>456</v>
      </c>
      <c r="BK50" s="61" t="s">
        <v>456</v>
      </c>
      <c r="BL50" s="61" t="s">
        <v>456</v>
      </c>
      <c r="BM50" s="61">
        <v>2151</v>
      </c>
      <c r="BN50" s="61">
        <v>4181</v>
      </c>
      <c r="BO50" s="61">
        <v>0</v>
      </c>
      <c r="BP50" s="61">
        <v>0</v>
      </c>
      <c r="BQ50" s="61">
        <v>0</v>
      </c>
      <c r="BR50" s="61">
        <v>0</v>
      </c>
      <c r="BS50" s="61">
        <v>0</v>
      </c>
      <c r="BT50" s="61">
        <v>0</v>
      </c>
      <c r="BU50" s="61">
        <v>0</v>
      </c>
      <c r="BV50" s="61">
        <v>0</v>
      </c>
      <c r="BW50" s="61">
        <v>0</v>
      </c>
      <c r="BX50" s="61">
        <v>0</v>
      </c>
      <c r="BY50" s="61" t="s">
        <v>455</v>
      </c>
      <c r="BZ50" s="61" t="s">
        <v>455</v>
      </c>
      <c r="CA50" s="61" t="s">
        <v>456</v>
      </c>
      <c r="CB50" s="61"/>
      <c r="CC50" s="61">
        <v>1</v>
      </c>
      <c r="CD50" s="61">
        <v>1</v>
      </c>
      <c r="CE50" s="61">
        <v>0</v>
      </c>
      <c r="CF50" s="61"/>
      <c r="CG50" s="61" t="s">
        <v>473</v>
      </c>
    </row>
    <row r="51" s="52" customFormat="1" ht="13.5" spans="1:85">
      <c r="A51" s="61" t="s">
        <v>45</v>
      </c>
      <c r="B51" s="61" t="s">
        <v>565</v>
      </c>
      <c r="C51" s="61">
        <v>13950</v>
      </c>
      <c r="D51" s="61"/>
      <c r="E51" s="61" t="s">
        <v>248</v>
      </c>
      <c r="F51" s="61" t="b">
        <f>IF(COUNTIF(按提示输入属性!D16,E51)&gt;0,TRUE,FALSE)</f>
        <v>0</v>
      </c>
      <c r="G51" s="61"/>
      <c r="H51" s="61"/>
      <c r="I51" s="61"/>
      <c r="J51" s="61"/>
      <c r="K51" s="61">
        <v>487</v>
      </c>
      <c r="L51" s="61">
        <f>INT(K51*F342)</f>
        <v>523</v>
      </c>
      <c r="M51" s="61">
        <v>948</v>
      </c>
      <c r="N51" s="61">
        <f>INT(M51*F342)</f>
        <v>1019</v>
      </c>
      <c r="O51" s="61">
        <v>2444</v>
      </c>
      <c r="P51" s="61">
        <f>INT(O51*F342)</f>
        <v>2627</v>
      </c>
      <c r="Q51" s="61">
        <v>0</v>
      </c>
      <c r="R51" s="61">
        <f>INT(Q51*F342)</f>
        <v>0</v>
      </c>
      <c r="S51" s="61">
        <v>0</v>
      </c>
      <c r="T51" s="61">
        <f>INT(S51*F342)</f>
        <v>0</v>
      </c>
      <c r="U51" s="61">
        <v>0</v>
      </c>
      <c r="V51" s="61">
        <f>INT(U51*F342)</f>
        <v>0</v>
      </c>
      <c r="W51" s="61">
        <v>2172</v>
      </c>
      <c r="X51" s="61">
        <f>INT(W51*F342)</f>
        <v>2335</v>
      </c>
      <c r="Y51" s="61">
        <v>0</v>
      </c>
      <c r="Z51" s="61">
        <v>0</v>
      </c>
      <c r="AA51" s="61">
        <v>0</v>
      </c>
      <c r="AB51" s="61">
        <v>0</v>
      </c>
      <c r="AC51" s="61">
        <v>0</v>
      </c>
      <c r="AD51" s="61">
        <v>0</v>
      </c>
      <c r="AE51" s="61">
        <v>0</v>
      </c>
      <c r="AF51" s="61">
        <v>0</v>
      </c>
      <c r="AG51" s="61">
        <v>0</v>
      </c>
      <c r="AH51" s="61">
        <v>0</v>
      </c>
      <c r="AI51" s="61">
        <v>0</v>
      </c>
      <c r="AJ51" s="61"/>
      <c r="AK51" s="61"/>
      <c r="AL51" s="61"/>
      <c r="AM51" s="61"/>
      <c r="AN51" s="61"/>
      <c r="AO51" s="61"/>
      <c r="AP51" s="61" t="s">
        <v>460</v>
      </c>
      <c r="AQ51" s="61">
        <v>6</v>
      </c>
      <c r="AR51" s="61" t="s">
        <v>449</v>
      </c>
      <c r="AS51" s="61">
        <v>1</v>
      </c>
      <c r="AT51" s="61" t="s">
        <v>450</v>
      </c>
      <c r="AU51" s="61" t="s">
        <v>450</v>
      </c>
      <c r="AV51" s="61" t="s">
        <v>450</v>
      </c>
      <c r="AW51" s="61">
        <v>2512</v>
      </c>
      <c r="AX51" s="61">
        <v>0</v>
      </c>
      <c r="AY51" s="61">
        <v>0</v>
      </c>
      <c r="AZ51" s="61">
        <v>0</v>
      </c>
      <c r="BA51" s="61" t="s">
        <v>453</v>
      </c>
      <c r="BB51" s="61" t="s">
        <v>487</v>
      </c>
      <c r="BC51" s="61" t="s">
        <v>462</v>
      </c>
      <c r="BD51" s="61" t="s">
        <v>456</v>
      </c>
      <c r="BE51" s="61" t="s">
        <v>456</v>
      </c>
      <c r="BF51" s="61" t="s">
        <v>456</v>
      </c>
      <c r="BG51" s="61" t="s">
        <v>456</v>
      </c>
      <c r="BH51" s="61" t="s">
        <v>456</v>
      </c>
      <c r="BI51" s="61" t="s">
        <v>456</v>
      </c>
      <c r="BJ51" s="61" t="s">
        <v>456</v>
      </c>
      <c r="BK51" s="61" t="s">
        <v>456</v>
      </c>
      <c r="BL51" s="61" t="s">
        <v>456</v>
      </c>
      <c r="BM51" s="61">
        <v>1835</v>
      </c>
      <c r="BN51" s="61">
        <v>2355</v>
      </c>
      <c r="BO51" s="61">
        <v>2473</v>
      </c>
      <c r="BP51" s="61">
        <v>0</v>
      </c>
      <c r="BQ51" s="61">
        <v>0</v>
      </c>
      <c r="BR51" s="61">
        <v>0</v>
      </c>
      <c r="BS51" s="61">
        <v>0</v>
      </c>
      <c r="BT51" s="61">
        <v>0</v>
      </c>
      <c r="BU51" s="61">
        <v>0</v>
      </c>
      <c r="BV51" s="61">
        <v>0</v>
      </c>
      <c r="BW51" s="61">
        <v>0</v>
      </c>
      <c r="BX51" s="61">
        <v>0</v>
      </c>
      <c r="BY51" s="61" t="s">
        <v>490</v>
      </c>
      <c r="BZ51" s="61" t="s">
        <v>490</v>
      </c>
      <c r="CA51" s="61" t="s">
        <v>456</v>
      </c>
      <c r="CB51" s="61"/>
      <c r="CC51" s="61">
        <v>1</v>
      </c>
      <c r="CD51" s="61">
        <v>1</v>
      </c>
      <c r="CE51" s="61">
        <v>0</v>
      </c>
      <c r="CF51" s="61"/>
      <c r="CG51" s="61" t="s">
        <v>473</v>
      </c>
    </row>
    <row r="52" s="53" customFormat="1" ht="13.5" spans="1:85">
      <c r="A52" s="62" t="s">
        <v>45</v>
      </c>
      <c r="B52" s="62" t="s">
        <v>566</v>
      </c>
      <c r="C52" s="62">
        <v>13950</v>
      </c>
      <c r="D52" s="62"/>
      <c r="E52" s="62" t="s">
        <v>567</v>
      </c>
      <c r="F52" s="62" t="b">
        <f>IF(COUNTIF(按提示输入属性!D16,E52)&gt;0,TRUE,FALSE)</f>
        <v>0</v>
      </c>
      <c r="G52" s="62"/>
      <c r="H52" s="62"/>
      <c r="I52" s="62"/>
      <c r="J52" s="62"/>
      <c r="K52" s="62">
        <v>0</v>
      </c>
      <c r="L52" s="62">
        <f>INT(K52*F342)</f>
        <v>0</v>
      </c>
      <c r="M52" s="62">
        <v>2480</v>
      </c>
      <c r="N52" s="62">
        <f>INT(M52*F344)</f>
        <v>2539</v>
      </c>
      <c r="O52" s="62">
        <v>0</v>
      </c>
      <c r="P52" s="61">
        <f>INT(O52*F344)</f>
        <v>0</v>
      </c>
      <c r="Q52" s="62">
        <v>0</v>
      </c>
      <c r="R52" s="61">
        <f>INT(Q52*F344)</f>
        <v>0</v>
      </c>
      <c r="S52" s="62">
        <v>0</v>
      </c>
      <c r="T52" s="61">
        <f>INT(S52*F344)</f>
        <v>0</v>
      </c>
      <c r="U52" s="62">
        <v>0</v>
      </c>
      <c r="V52" s="61">
        <f>INT(U52*F344)</f>
        <v>0</v>
      </c>
      <c r="W52" s="62">
        <v>4820</v>
      </c>
      <c r="X52" s="61">
        <f>INT(W52*F344)</f>
        <v>4936</v>
      </c>
      <c r="Y52" s="62">
        <v>0</v>
      </c>
      <c r="Z52" s="62">
        <v>0</v>
      </c>
      <c r="AA52" s="62">
        <v>0</v>
      </c>
      <c r="AB52" s="62">
        <v>0</v>
      </c>
      <c r="AC52" s="62">
        <v>0</v>
      </c>
      <c r="AD52" s="62">
        <v>0</v>
      </c>
      <c r="AE52" s="62">
        <v>0</v>
      </c>
      <c r="AF52" s="62">
        <v>0</v>
      </c>
      <c r="AG52" s="62">
        <v>0</v>
      </c>
      <c r="AH52" s="62">
        <v>0</v>
      </c>
      <c r="AI52" s="62">
        <v>0</v>
      </c>
      <c r="AJ52" s="62"/>
      <c r="AK52" s="62"/>
      <c r="AL52" s="62"/>
      <c r="AM52" s="62"/>
      <c r="AN52" s="62"/>
      <c r="AO52" s="62"/>
      <c r="AP52" s="62" t="s">
        <v>568</v>
      </c>
      <c r="AQ52" s="62">
        <v>3</v>
      </c>
      <c r="AR52" s="62" t="s">
        <v>449</v>
      </c>
      <c r="AS52" s="62">
        <v>1</v>
      </c>
      <c r="AT52" s="62" t="s">
        <v>450</v>
      </c>
      <c r="AU52" s="62" t="s">
        <v>450</v>
      </c>
      <c r="AV52" s="62" t="s">
        <v>450</v>
      </c>
      <c r="AW52" s="62">
        <v>0</v>
      </c>
      <c r="AX52" s="62">
        <v>0</v>
      </c>
      <c r="AY52" s="62">
        <v>0</v>
      </c>
      <c r="AZ52" s="62">
        <v>0</v>
      </c>
      <c r="BA52" s="62" t="s">
        <v>453</v>
      </c>
      <c r="BB52" s="62" t="s">
        <v>454</v>
      </c>
      <c r="BC52" s="62" t="s">
        <v>487</v>
      </c>
      <c r="BD52" s="62" t="s">
        <v>462</v>
      </c>
      <c r="BE52" s="62" t="s">
        <v>456</v>
      </c>
      <c r="BF52" s="62" t="s">
        <v>456</v>
      </c>
      <c r="BG52" s="62" t="s">
        <v>456</v>
      </c>
      <c r="BH52" s="62" t="s">
        <v>456</v>
      </c>
      <c r="BI52" s="62" t="s">
        <v>456</v>
      </c>
      <c r="BJ52" s="62" t="s">
        <v>456</v>
      </c>
      <c r="BK52" s="62" t="s">
        <v>456</v>
      </c>
      <c r="BL52" s="62" t="s">
        <v>456</v>
      </c>
      <c r="BM52" s="62">
        <v>1835</v>
      </c>
      <c r="BN52" s="62">
        <v>1649</v>
      </c>
      <c r="BO52" s="62">
        <v>1884</v>
      </c>
      <c r="BP52" s="62">
        <v>1295</v>
      </c>
      <c r="BQ52" s="62">
        <v>0</v>
      </c>
      <c r="BR52" s="62">
        <v>0</v>
      </c>
      <c r="BS52" s="62">
        <v>0</v>
      </c>
      <c r="BT52" s="62">
        <v>0</v>
      </c>
      <c r="BU52" s="62">
        <v>0</v>
      </c>
      <c r="BV52" s="62">
        <v>0</v>
      </c>
      <c r="BW52" s="62">
        <v>0</v>
      </c>
      <c r="BX52" s="62">
        <v>0</v>
      </c>
      <c r="BY52" s="62" t="s">
        <v>490</v>
      </c>
      <c r="BZ52" s="62" t="s">
        <v>490</v>
      </c>
      <c r="CA52" s="62" t="s">
        <v>456</v>
      </c>
      <c r="CB52" s="62"/>
      <c r="CC52" s="62">
        <v>1</v>
      </c>
      <c r="CD52" s="62">
        <v>1</v>
      </c>
      <c r="CE52" s="62">
        <v>0</v>
      </c>
      <c r="CF52" s="62"/>
      <c r="CG52" s="62" t="s">
        <v>473</v>
      </c>
    </row>
    <row r="53" s="53" customFormat="1" ht="13.5" spans="1:85">
      <c r="A53" s="62" t="s">
        <v>45</v>
      </c>
      <c r="B53" s="62" t="s">
        <v>569</v>
      </c>
      <c r="C53" s="62">
        <v>13950</v>
      </c>
      <c r="D53" s="62"/>
      <c r="E53" s="62" t="s">
        <v>570</v>
      </c>
      <c r="F53" s="62" t="b">
        <f>IF(COUNTIF(按提示输入属性!D16,E53)&gt;0,TRUE,FALSE)</f>
        <v>0</v>
      </c>
      <c r="G53" s="62"/>
      <c r="H53" s="62"/>
      <c r="I53" s="62"/>
      <c r="J53" s="62"/>
      <c r="K53" s="62">
        <v>0</v>
      </c>
      <c r="L53" s="62">
        <f>INT(K53*F342)</f>
        <v>0</v>
      </c>
      <c r="M53" s="62">
        <v>2115</v>
      </c>
      <c r="N53" s="62">
        <f>INT(M53*F344)</f>
        <v>2166</v>
      </c>
      <c r="O53" s="62">
        <v>2783</v>
      </c>
      <c r="P53" s="62">
        <f>INT(O53*F344)</f>
        <v>2850</v>
      </c>
      <c r="Q53" s="62">
        <v>0</v>
      </c>
      <c r="R53" s="62">
        <f>INT(Q53*F344)</f>
        <v>0</v>
      </c>
      <c r="S53" s="62">
        <v>2783</v>
      </c>
      <c r="T53" s="62">
        <f>INT(S53*F344)</f>
        <v>2850</v>
      </c>
      <c r="U53" s="62">
        <v>0</v>
      </c>
      <c r="V53" s="62">
        <f>INT(U53*F344)</f>
        <v>0</v>
      </c>
      <c r="W53" s="62">
        <v>0</v>
      </c>
      <c r="X53" s="62">
        <f>INT(W53*F344)</f>
        <v>0</v>
      </c>
      <c r="Y53" s="62">
        <v>0</v>
      </c>
      <c r="Z53" s="62">
        <v>0</v>
      </c>
      <c r="AA53" s="62">
        <v>0</v>
      </c>
      <c r="AB53" s="62">
        <v>0</v>
      </c>
      <c r="AC53" s="62">
        <v>0</v>
      </c>
      <c r="AD53" s="62">
        <v>0</v>
      </c>
      <c r="AE53" s="62">
        <v>0</v>
      </c>
      <c r="AF53" s="62">
        <v>0</v>
      </c>
      <c r="AG53" s="62">
        <v>0</v>
      </c>
      <c r="AH53" s="62">
        <v>0</v>
      </c>
      <c r="AI53" s="62">
        <v>0</v>
      </c>
      <c r="AJ53" s="62"/>
      <c r="AK53" s="62"/>
      <c r="AL53" s="62"/>
      <c r="AM53" s="62"/>
      <c r="AN53" s="62"/>
      <c r="AO53" s="62"/>
      <c r="AP53" s="62" t="s">
        <v>536</v>
      </c>
      <c r="AQ53" s="62">
        <v>3</v>
      </c>
      <c r="AR53" s="62" t="s">
        <v>449</v>
      </c>
      <c r="AS53" s="62">
        <v>1</v>
      </c>
      <c r="AT53" s="62" t="s">
        <v>450</v>
      </c>
      <c r="AU53" s="62" t="s">
        <v>450</v>
      </c>
      <c r="AV53" s="62" t="s">
        <v>450</v>
      </c>
      <c r="AW53" s="62">
        <v>0</v>
      </c>
      <c r="AX53" s="62">
        <v>0</v>
      </c>
      <c r="AY53" s="62">
        <v>0</v>
      </c>
      <c r="AZ53" s="62">
        <v>0</v>
      </c>
      <c r="BA53" s="62" t="s">
        <v>451</v>
      </c>
      <c r="BB53" s="62" t="s">
        <v>452</v>
      </c>
      <c r="BC53" s="62" t="s">
        <v>453</v>
      </c>
      <c r="BD53" s="62" t="s">
        <v>454</v>
      </c>
      <c r="BE53" s="62" t="s">
        <v>455</v>
      </c>
      <c r="BF53" s="62" t="s">
        <v>456</v>
      </c>
      <c r="BG53" s="62" t="s">
        <v>456</v>
      </c>
      <c r="BH53" s="62" t="s">
        <v>456</v>
      </c>
      <c r="BI53" s="62" t="s">
        <v>456</v>
      </c>
      <c r="BJ53" s="62" t="s">
        <v>456</v>
      </c>
      <c r="BK53" s="62" t="s">
        <v>456</v>
      </c>
      <c r="BL53" s="62" t="s">
        <v>456</v>
      </c>
      <c r="BM53" s="62">
        <v>3567</v>
      </c>
      <c r="BN53" s="62">
        <v>692</v>
      </c>
      <c r="BO53" s="62">
        <v>1346</v>
      </c>
      <c r="BP53" s="62">
        <v>3470</v>
      </c>
      <c r="BQ53" s="62">
        <v>3085</v>
      </c>
      <c r="BR53" s="62">
        <v>0</v>
      </c>
      <c r="BS53" s="62">
        <v>0</v>
      </c>
      <c r="BT53" s="62">
        <v>0</v>
      </c>
      <c r="BU53" s="62">
        <v>0</v>
      </c>
      <c r="BV53" s="62">
        <v>0</v>
      </c>
      <c r="BW53" s="62">
        <v>0</v>
      </c>
      <c r="BX53" s="62">
        <v>0</v>
      </c>
      <c r="BY53" s="62" t="s">
        <v>453</v>
      </c>
      <c r="BZ53" s="62" t="s">
        <v>454</v>
      </c>
      <c r="CA53" s="62" t="s">
        <v>456</v>
      </c>
      <c r="CB53" s="64"/>
      <c r="CC53" s="62">
        <v>2</v>
      </c>
      <c r="CD53" s="62">
        <v>2</v>
      </c>
      <c r="CE53" s="62">
        <v>0</v>
      </c>
      <c r="CF53" s="62"/>
      <c r="CG53" s="62" t="s">
        <v>503</v>
      </c>
    </row>
    <row r="54" s="53" customFormat="1" ht="13.5" spans="1:85">
      <c r="A54" s="62" t="s">
        <v>45</v>
      </c>
      <c r="B54" s="62" t="s">
        <v>571</v>
      </c>
      <c r="C54" s="62">
        <v>13950</v>
      </c>
      <c r="D54" s="62"/>
      <c r="E54" s="62" t="s">
        <v>46</v>
      </c>
      <c r="F54" s="62" t="b">
        <f>IF(COUNTIF(按提示输入属性!D16,E54)&gt;0,TRUE,FALSE)</f>
        <v>1</v>
      </c>
      <c r="G54" s="62"/>
      <c r="H54" s="62"/>
      <c r="I54" s="62"/>
      <c r="J54" s="62"/>
      <c r="K54" s="62">
        <v>0</v>
      </c>
      <c r="L54" s="62">
        <f>INT(K54*F342)</f>
        <v>0</v>
      </c>
      <c r="M54" s="62">
        <v>2115</v>
      </c>
      <c r="N54" s="62">
        <f>INT(M54*F344)</f>
        <v>2166</v>
      </c>
      <c r="O54" s="62">
        <v>2580</v>
      </c>
      <c r="P54" s="62">
        <f>INT(O54*F344)</f>
        <v>2642</v>
      </c>
      <c r="Q54" s="62">
        <v>1358</v>
      </c>
      <c r="R54" s="62">
        <f>INT(Q54*F344)</f>
        <v>1390</v>
      </c>
      <c r="S54" s="62">
        <v>0</v>
      </c>
      <c r="T54" s="62">
        <f>INT(S54*F344)</f>
        <v>0</v>
      </c>
      <c r="U54" s="62">
        <v>1493</v>
      </c>
      <c r="V54" s="62">
        <f>INT(U54*F344)</f>
        <v>1529</v>
      </c>
      <c r="W54" s="62">
        <v>0</v>
      </c>
      <c r="X54" s="62">
        <f>INT(W54*F344)</f>
        <v>0</v>
      </c>
      <c r="Y54" s="62">
        <v>0</v>
      </c>
      <c r="Z54" s="62">
        <v>0</v>
      </c>
      <c r="AA54" s="62">
        <v>0</v>
      </c>
      <c r="AB54" s="62">
        <v>0</v>
      </c>
      <c r="AC54" s="62">
        <v>0</v>
      </c>
      <c r="AD54" s="62">
        <v>0</v>
      </c>
      <c r="AE54" s="62">
        <v>0</v>
      </c>
      <c r="AF54" s="62">
        <v>0</v>
      </c>
      <c r="AG54" s="62">
        <v>0</v>
      </c>
      <c r="AH54" s="62">
        <v>0</v>
      </c>
      <c r="AI54" s="62">
        <v>0</v>
      </c>
      <c r="AJ54" s="62"/>
      <c r="AK54" s="62"/>
      <c r="AL54" s="62"/>
      <c r="AM54" s="62"/>
      <c r="AN54" s="62"/>
      <c r="AO54" s="62"/>
      <c r="AP54" s="62" t="s">
        <v>483</v>
      </c>
      <c r="AQ54" s="62">
        <v>3</v>
      </c>
      <c r="AR54" s="62" t="s">
        <v>449</v>
      </c>
      <c r="AS54" s="62">
        <v>1</v>
      </c>
      <c r="AT54" s="62" t="s">
        <v>450</v>
      </c>
      <c r="AU54" s="62" t="s">
        <v>450</v>
      </c>
      <c r="AV54" s="62" t="s">
        <v>450</v>
      </c>
      <c r="AW54" s="62">
        <v>0</v>
      </c>
      <c r="AX54" s="62">
        <v>0</v>
      </c>
      <c r="AY54" s="62">
        <v>0</v>
      </c>
      <c r="AZ54" s="62">
        <v>0</v>
      </c>
      <c r="BA54" s="62" t="s">
        <v>451</v>
      </c>
      <c r="BB54" s="62" t="s">
        <v>452</v>
      </c>
      <c r="BC54" s="62" t="s">
        <v>453</v>
      </c>
      <c r="BD54" s="62" t="s">
        <v>461</v>
      </c>
      <c r="BE54" s="62" t="s">
        <v>455</v>
      </c>
      <c r="BF54" s="62" t="s">
        <v>456</v>
      </c>
      <c r="BG54" s="62" t="s">
        <v>456</v>
      </c>
      <c r="BH54" s="62" t="s">
        <v>456</v>
      </c>
      <c r="BI54" s="62" t="s">
        <v>456</v>
      </c>
      <c r="BJ54" s="62" t="s">
        <v>456</v>
      </c>
      <c r="BK54" s="62" t="s">
        <v>456</v>
      </c>
      <c r="BL54" s="62" t="s">
        <v>456</v>
      </c>
      <c r="BM54" s="62">
        <v>3567</v>
      </c>
      <c r="BN54" s="62">
        <v>692</v>
      </c>
      <c r="BO54" s="62">
        <v>1346</v>
      </c>
      <c r="BP54" s="62">
        <v>3470</v>
      </c>
      <c r="BQ54" s="62">
        <v>3085</v>
      </c>
      <c r="BR54" s="62">
        <v>0</v>
      </c>
      <c r="BS54" s="62">
        <v>0</v>
      </c>
      <c r="BT54" s="62">
        <v>0</v>
      </c>
      <c r="BU54" s="62">
        <v>0</v>
      </c>
      <c r="BV54" s="62">
        <v>0</v>
      </c>
      <c r="BW54" s="62">
        <v>0</v>
      </c>
      <c r="BX54" s="62">
        <v>0</v>
      </c>
      <c r="BY54" s="62" t="s">
        <v>572</v>
      </c>
      <c r="BZ54" s="62" t="s">
        <v>461</v>
      </c>
      <c r="CA54" s="62" t="s">
        <v>456</v>
      </c>
      <c r="CB54" s="64"/>
      <c r="CC54" s="62">
        <v>2</v>
      </c>
      <c r="CD54" s="62">
        <v>2</v>
      </c>
      <c r="CE54" s="62">
        <v>0</v>
      </c>
      <c r="CF54" s="62"/>
      <c r="CG54" s="62" t="s">
        <v>503</v>
      </c>
    </row>
    <row r="55" s="53" customFormat="1" ht="13.5" spans="1:85">
      <c r="A55" s="62" t="s">
        <v>45</v>
      </c>
      <c r="B55" s="62" t="s">
        <v>573</v>
      </c>
      <c r="C55" s="62">
        <v>13950</v>
      </c>
      <c r="D55" s="62"/>
      <c r="E55" s="62" t="s">
        <v>574</v>
      </c>
      <c r="F55" s="62" t="b">
        <f>IF(COUNTIF(按提示输入属性!D16,E55)&gt;0,TRUE,FALSE)</f>
        <v>0</v>
      </c>
      <c r="G55" s="62"/>
      <c r="H55" s="62"/>
      <c r="I55" s="62"/>
      <c r="J55" s="62"/>
      <c r="K55" s="62">
        <v>0</v>
      </c>
      <c r="L55" s="62">
        <f>INT(K55*F342)</f>
        <v>0</v>
      </c>
      <c r="M55" s="62">
        <v>2115</v>
      </c>
      <c r="N55" s="62">
        <f>INT(M55*F344)</f>
        <v>2166</v>
      </c>
      <c r="O55" s="62">
        <v>0</v>
      </c>
      <c r="P55" s="61">
        <f>INT(O55*F344)</f>
        <v>0</v>
      </c>
      <c r="Q55" s="62">
        <v>0</v>
      </c>
      <c r="R55" s="61">
        <f>INT(Q55*F344)</f>
        <v>0</v>
      </c>
      <c r="S55" s="62">
        <v>2715</v>
      </c>
      <c r="T55" s="61">
        <f>INT(S55*F344)</f>
        <v>2780</v>
      </c>
      <c r="U55" s="62">
        <v>0</v>
      </c>
      <c r="V55" s="61">
        <f>INT(U55*F344)</f>
        <v>0</v>
      </c>
      <c r="W55" s="62">
        <v>2851</v>
      </c>
      <c r="X55" s="61">
        <f>INT(W55*F344)</f>
        <v>2919</v>
      </c>
      <c r="Y55" s="62">
        <v>0</v>
      </c>
      <c r="Z55" s="62">
        <v>0</v>
      </c>
      <c r="AA55" s="62">
        <v>0</v>
      </c>
      <c r="AB55" s="62">
        <v>0</v>
      </c>
      <c r="AC55" s="62">
        <v>0</v>
      </c>
      <c r="AD55" s="62">
        <v>0</v>
      </c>
      <c r="AE55" s="62">
        <v>0</v>
      </c>
      <c r="AF55" s="62">
        <v>0</v>
      </c>
      <c r="AG55" s="62">
        <v>0</v>
      </c>
      <c r="AH55" s="62">
        <v>0</v>
      </c>
      <c r="AI55" s="62">
        <v>0</v>
      </c>
      <c r="AJ55" s="62"/>
      <c r="AK55" s="62"/>
      <c r="AL55" s="62"/>
      <c r="AM55" s="62"/>
      <c r="AN55" s="62"/>
      <c r="AO55" s="62"/>
      <c r="AP55" s="62" t="s">
        <v>512</v>
      </c>
      <c r="AQ55" s="62">
        <v>3</v>
      </c>
      <c r="AR55" s="62" t="s">
        <v>449</v>
      </c>
      <c r="AS55" s="62">
        <v>1</v>
      </c>
      <c r="AT55" s="62" t="s">
        <v>450</v>
      </c>
      <c r="AU55" s="62" t="s">
        <v>450</v>
      </c>
      <c r="AV55" s="62" t="s">
        <v>450</v>
      </c>
      <c r="AW55" s="62">
        <v>0</v>
      </c>
      <c r="AX55" s="62">
        <v>0</v>
      </c>
      <c r="AY55" s="62">
        <v>0</v>
      </c>
      <c r="AZ55" s="62">
        <v>0</v>
      </c>
      <c r="BA55" s="62" t="s">
        <v>451</v>
      </c>
      <c r="BB55" s="62" t="s">
        <v>452</v>
      </c>
      <c r="BC55" s="62" t="s">
        <v>453</v>
      </c>
      <c r="BD55" s="62" t="s">
        <v>454</v>
      </c>
      <c r="BE55" s="62" t="s">
        <v>455</v>
      </c>
      <c r="BF55" s="62" t="s">
        <v>456</v>
      </c>
      <c r="BG55" s="62" t="s">
        <v>456</v>
      </c>
      <c r="BH55" s="62" t="s">
        <v>456</v>
      </c>
      <c r="BI55" s="62" t="s">
        <v>456</v>
      </c>
      <c r="BJ55" s="62" t="s">
        <v>456</v>
      </c>
      <c r="BK55" s="62" t="s">
        <v>456</v>
      </c>
      <c r="BL55" s="62" t="s">
        <v>456</v>
      </c>
      <c r="BM55" s="62">
        <v>3567</v>
      </c>
      <c r="BN55" s="62">
        <v>692</v>
      </c>
      <c r="BO55" s="62">
        <v>1346</v>
      </c>
      <c r="BP55" s="62">
        <v>3470</v>
      </c>
      <c r="BQ55" s="62">
        <v>3085</v>
      </c>
      <c r="BR55" s="62">
        <v>0</v>
      </c>
      <c r="BS55" s="62">
        <v>0</v>
      </c>
      <c r="BT55" s="62">
        <v>0</v>
      </c>
      <c r="BU55" s="62">
        <v>0</v>
      </c>
      <c r="BV55" s="62">
        <v>0</v>
      </c>
      <c r="BW55" s="62">
        <v>0</v>
      </c>
      <c r="BX55" s="62">
        <v>0</v>
      </c>
      <c r="BY55" s="62" t="s">
        <v>455</v>
      </c>
      <c r="BZ55" s="62" t="s">
        <v>461</v>
      </c>
      <c r="CA55" s="62" t="s">
        <v>456</v>
      </c>
      <c r="CB55" s="64"/>
      <c r="CC55" s="62">
        <v>2</v>
      </c>
      <c r="CD55" s="62">
        <v>2</v>
      </c>
      <c r="CE55" s="62">
        <v>0</v>
      </c>
      <c r="CF55" s="62"/>
      <c r="CG55" s="62" t="s">
        <v>503</v>
      </c>
    </row>
    <row r="56" s="54" customFormat="1" ht="13.5" spans="1:85">
      <c r="A56" s="63" t="s">
        <v>45</v>
      </c>
      <c r="B56" s="63" t="s">
        <v>575</v>
      </c>
      <c r="C56" s="63">
        <v>13950</v>
      </c>
      <c r="D56" s="63"/>
      <c r="E56" s="63" t="s">
        <v>576</v>
      </c>
      <c r="F56" s="63" t="b">
        <f>IF(COUNTIF(按提示输入属性!D16,E56)&gt;0,TRUE,FALSE)</f>
        <v>0</v>
      </c>
      <c r="G56" s="63"/>
      <c r="H56" s="63"/>
      <c r="I56" s="63"/>
      <c r="J56" s="63"/>
      <c r="K56" s="63">
        <v>0</v>
      </c>
      <c r="L56" s="63">
        <f>INT(K56*F342)</f>
        <v>0</v>
      </c>
      <c r="M56" s="63">
        <v>1750</v>
      </c>
      <c r="N56" s="63">
        <f>INT(M56*F343)</f>
        <v>1816</v>
      </c>
      <c r="O56" s="63">
        <v>1765</v>
      </c>
      <c r="P56" s="63">
        <f>INT(O56*F343)</f>
        <v>1832</v>
      </c>
      <c r="Q56" s="63">
        <v>0</v>
      </c>
      <c r="R56" s="63">
        <f>INT(Q56*F342)</f>
        <v>0</v>
      </c>
      <c r="S56" s="63">
        <v>0</v>
      </c>
      <c r="T56" s="63">
        <f>INT(S56*F343)</f>
        <v>0</v>
      </c>
      <c r="U56" s="63">
        <v>0</v>
      </c>
      <c r="V56" s="63">
        <f>INT(U56*F343)</f>
        <v>0</v>
      </c>
      <c r="W56" s="63">
        <v>4344</v>
      </c>
      <c r="X56" s="63">
        <f>INT(W56*F343)</f>
        <v>4509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0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3"/>
      <c r="AK56" s="63"/>
      <c r="AL56" s="63"/>
      <c r="AM56" s="63"/>
      <c r="AN56" s="63"/>
      <c r="AO56" s="63"/>
      <c r="AP56" s="63" t="s">
        <v>551</v>
      </c>
      <c r="AQ56" s="63">
        <v>4</v>
      </c>
      <c r="AR56" s="63" t="s">
        <v>449</v>
      </c>
      <c r="AS56" s="63">
        <v>1</v>
      </c>
      <c r="AT56" s="63" t="s">
        <v>450</v>
      </c>
      <c r="AU56" s="63" t="s">
        <v>450</v>
      </c>
      <c r="AV56" s="63" t="s">
        <v>450</v>
      </c>
      <c r="AW56" s="63">
        <v>2512</v>
      </c>
      <c r="AX56" s="63">
        <v>0</v>
      </c>
      <c r="AY56" s="63">
        <v>0</v>
      </c>
      <c r="AZ56" s="63">
        <v>0</v>
      </c>
      <c r="BA56" s="63" t="s">
        <v>451</v>
      </c>
      <c r="BB56" s="63" t="s">
        <v>452</v>
      </c>
      <c r="BC56" s="63" t="s">
        <v>453</v>
      </c>
      <c r="BD56" s="63" t="s">
        <v>461</v>
      </c>
      <c r="BE56" s="63" t="s">
        <v>462</v>
      </c>
      <c r="BF56" s="63" t="s">
        <v>456</v>
      </c>
      <c r="BG56" s="63" t="s">
        <v>456</v>
      </c>
      <c r="BH56" s="63" t="s">
        <v>456</v>
      </c>
      <c r="BI56" s="63" t="s">
        <v>456</v>
      </c>
      <c r="BJ56" s="63" t="s">
        <v>456</v>
      </c>
      <c r="BK56" s="63" t="s">
        <v>456</v>
      </c>
      <c r="BL56" s="63" t="s">
        <v>456</v>
      </c>
      <c r="BM56" s="63">
        <v>5095</v>
      </c>
      <c r="BN56" s="63">
        <v>988</v>
      </c>
      <c r="BO56" s="63">
        <v>1923</v>
      </c>
      <c r="BP56" s="63">
        <v>4958</v>
      </c>
      <c r="BQ56" s="63">
        <v>4407</v>
      </c>
      <c r="BR56" s="63">
        <v>0</v>
      </c>
      <c r="BS56" s="63">
        <v>0</v>
      </c>
      <c r="BT56" s="63">
        <v>0</v>
      </c>
      <c r="BU56" s="63">
        <v>0</v>
      </c>
      <c r="BV56" s="63">
        <v>0</v>
      </c>
      <c r="BW56" s="63">
        <v>0</v>
      </c>
      <c r="BX56" s="63">
        <v>0</v>
      </c>
      <c r="BY56" s="63" t="s">
        <v>455</v>
      </c>
      <c r="BZ56" s="63" t="s">
        <v>461</v>
      </c>
      <c r="CA56" s="63" t="s">
        <v>456</v>
      </c>
      <c r="CB56" s="65"/>
      <c r="CC56" s="63">
        <v>2</v>
      </c>
      <c r="CD56" s="63">
        <v>2</v>
      </c>
      <c r="CE56" s="63">
        <v>0</v>
      </c>
      <c r="CF56" s="63"/>
      <c r="CG56" s="63" t="s">
        <v>503</v>
      </c>
    </row>
    <row r="57" s="54" customFormat="1" ht="13.5" spans="1:85">
      <c r="A57" s="63" t="s">
        <v>45</v>
      </c>
      <c r="B57" s="63" t="s">
        <v>577</v>
      </c>
      <c r="C57" s="63">
        <v>13950</v>
      </c>
      <c r="D57" s="63"/>
      <c r="E57" s="63" t="s">
        <v>578</v>
      </c>
      <c r="F57" s="63" t="b">
        <f>IF(COUNTIF(按提示输入属性!D16,E57)&gt;0,TRUE,FALSE)</f>
        <v>0</v>
      </c>
      <c r="G57" s="63"/>
      <c r="H57" s="63"/>
      <c r="I57" s="63"/>
      <c r="J57" s="63"/>
      <c r="K57" s="63">
        <v>0</v>
      </c>
      <c r="L57" s="63">
        <f>INT(K57*F342)</f>
        <v>0</v>
      </c>
      <c r="M57" s="63">
        <v>2042</v>
      </c>
      <c r="N57" s="63">
        <f>INT(M57*F343)</f>
        <v>2119</v>
      </c>
      <c r="O57" s="63">
        <v>0</v>
      </c>
      <c r="P57" s="61">
        <f>INT(O57*F343)</f>
        <v>0</v>
      </c>
      <c r="Q57" s="63">
        <v>0</v>
      </c>
      <c r="R57" s="61">
        <f>INT(Q57*F342)</f>
        <v>0</v>
      </c>
      <c r="S57" s="63">
        <v>2580</v>
      </c>
      <c r="T57" s="61">
        <f>INT(S57*F343)</f>
        <v>2678</v>
      </c>
      <c r="U57" s="63">
        <v>2851</v>
      </c>
      <c r="V57" s="61">
        <f>INT(U57*F343)</f>
        <v>2959</v>
      </c>
      <c r="W57" s="63">
        <v>0</v>
      </c>
      <c r="X57" s="61">
        <f>INT(W57*F343)</f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/>
      <c r="AK57" s="63"/>
      <c r="AL57" s="63"/>
      <c r="AM57" s="63"/>
      <c r="AN57" s="63"/>
      <c r="AO57" s="63"/>
      <c r="AP57" s="63" t="s">
        <v>521</v>
      </c>
      <c r="AQ57" s="63">
        <v>4</v>
      </c>
      <c r="AR57" s="63" t="s">
        <v>449</v>
      </c>
      <c r="AS57" s="63">
        <v>1</v>
      </c>
      <c r="AT57" s="63" t="s">
        <v>450</v>
      </c>
      <c r="AU57" s="63" t="s">
        <v>450</v>
      </c>
      <c r="AV57" s="63" t="s">
        <v>450</v>
      </c>
      <c r="AW57" s="63">
        <v>2512</v>
      </c>
      <c r="AX57" s="63">
        <v>0</v>
      </c>
      <c r="AY57" s="63">
        <v>0</v>
      </c>
      <c r="AZ57" s="63">
        <v>0</v>
      </c>
      <c r="BA57" s="63" t="s">
        <v>451</v>
      </c>
      <c r="BB57" s="63" t="s">
        <v>452</v>
      </c>
      <c r="BC57" s="63" t="s">
        <v>453</v>
      </c>
      <c r="BD57" s="63" t="s">
        <v>461</v>
      </c>
      <c r="BE57" s="63" t="s">
        <v>455</v>
      </c>
      <c r="BF57" s="63" t="s">
        <v>456</v>
      </c>
      <c r="BG57" s="63" t="s">
        <v>456</v>
      </c>
      <c r="BH57" s="63" t="s">
        <v>456</v>
      </c>
      <c r="BI57" s="63" t="s">
        <v>456</v>
      </c>
      <c r="BJ57" s="63" t="s">
        <v>456</v>
      </c>
      <c r="BK57" s="63" t="s">
        <v>456</v>
      </c>
      <c r="BL57" s="63" t="s">
        <v>456</v>
      </c>
      <c r="BM57" s="63">
        <v>4586</v>
      </c>
      <c r="BN57" s="63">
        <v>889</v>
      </c>
      <c r="BO57" s="63">
        <v>1731</v>
      </c>
      <c r="BP57" s="63">
        <v>4462</v>
      </c>
      <c r="BQ57" s="63">
        <v>3966</v>
      </c>
      <c r="BR57" s="63">
        <v>0</v>
      </c>
      <c r="BS57" s="63">
        <v>0</v>
      </c>
      <c r="BT57" s="63">
        <v>0</v>
      </c>
      <c r="BU57" s="63">
        <v>0</v>
      </c>
      <c r="BV57" s="63">
        <v>0</v>
      </c>
      <c r="BW57" s="63">
        <v>0</v>
      </c>
      <c r="BX57" s="63">
        <v>0</v>
      </c>
      <c r="BY57" s="63" t="s">
        <v>453</v>
      </c>
      <c r="BZ57" s="63" t="s">
        <v>454</v>
      </c>
      <c r="CA57" s="63" t="s">
        <v>456</v>
      </c>
      <c r="CB57" s="65"/>
      <c r="CC57" s="63">
        <v>2</v>
      </c>
      <c r="CD57" s="63">
        <v>2</v>
      </c>
      <c r="CE57" s="63">
        <v>0</v>
      </c>
      <c r="CF57" s="63"/>
      <c r="CG57" s="63" t="s">
        <v>503</v>
      </c>
    </row>
    <row r="58" s="52" customFormat="1" ht="13.5" spans="1:85">
      <c r="A58" s="61" t="s">
        <v>45</v>
      </c>
      <c r="B58" s="61" t="s">
        <v>579</v>
      </c>
      <c r="C58" s="61">
        <v>13950</v>
      </c>
      <c r="D58" s="61"/>
      <c r="E58" s="61" t="s">
        <v>580</v>
      </c>
      <c r="F58" s="61" t="b">
        <f>IF(COUNTIF(按提示输入属性!D16,E58)&gt;0,TRUE,FALSE)</f>
        <v>0</v>
      </c>
      <c r="G58" s="61"/>
      <c r="H58" s="61"/>
      <c r="I58" s="61"/>
      <c r="J58" s="61"/>
      <c r="K58" s="61">
        <v>487</v>
      </c>
      <c r="L58" s="61">
        <f>INT(K58*F342)</f>
        <v>523</v>
      </c>
      <c r="M58" s="61">
        <v>948</v>
      </c>
      <c r="N58" s="61">
        <f>INT(M58*F342)</f>
        <v>1019</v>
      </c>
      <c r="O58" s="61">
        <v>0</v>
      </c>
      <c r="P58" s="61">
        <f>INT(O58*F342)</f>
        <v>0</v>
      </c>
      <c r="Q58" s="61">
        <v>0</v>
      </c>
      <c r="R58" s="61">
        <f>INT(Q58*F342)</f>
        <v>0</v>
      </c>
      <c r="S58" s="61">
        <v>2444</v>
      </c>
      <c r="T58" s="61">
        <f>INT(S58*F342)</f>
        <v>2627</v>
      </c>
      <c r="U58" s="61">
        <v>0</v>
      </c>
      <c r="V58" s="61">
        <f>INT(U58*F342)</f>
        <v>0</v>
      </c>
      <c r="W58" s="61">
        <v>2172</v>
      </c>
      <c r="X58" s="61">
        <f>INT(W58*F342)</f>
        <v>2335</v>
      </c>
      <c r="Y58" s="61">
        <v>0</v>
      </c>
      <c r="Z58" s="61">
        <v>0</v>
      </c>
      <c r="AA58" s="61">
        <v>0</v>
      </c>
      <c r="AB58" s="61">
        <v>0</v>
      </c>
      <c r="AC58" s="61">
        <v>0</v>
      </c>
      <c r="AD58" s="61">
        <v>0</v>
      </c>
      <c r="AE58" s="61">
        <v>0</v>
      </c>
      <c r="AF58" s="61">
        <v>0</v>
      </c>
      <c r="AG58" s="61">
        <v>0</v>
      </c>
      <c r="AH58" s="61">
        <v>0</v>
      </c>
      <c r="AI58" s="61">
        <v>0</v>
      </c>
      <c r="AJ58" s="61"/>
      <c r="AK58" s="61"/>
      <c r="AL58" s="61"/>
      <c r="AM58" s="61"/>
      <c r="AN58" s="61"/>
      <c r="AO58" s="61"/>
      <c r="AP58" s="61" t="s">
        <v>486</v>
      </c>
      <c r="AQ58" s="61">
        <v>6</v>
      </c>
      <c r="AR58" s="61" t="s">
        <v>524</v>
      </c>
      <c r="AS58" s="61">
        <v>1</v>
      </c>
      <c r="AT58" s="61" t="s">
        <v>450</v>
      </c>
      <c r="AU58" s="61" t="s">
        <v>450</v>
      </c>
      <c r="AV58" s="61" t="s">
        <v>450</v>
      </c>
      <c r="AW58" s="61">
        <v>2512</v>
      </c>
      <c r="AX58" s="61">
        <v>0</v>
      </c>
      <c r="AY58" s="61">
        <v>0</v>
      </c>
      <c r="AZ58" s="61">
        <v>0</v>
      </c>
      <c r="BA58" s="61" t="s">
        <v>451</v>
      </c>
      <c r="BB58" s="61" t="s">
        <v>452</v>
      </c>
      <c r="BC58" s="61" t="s">
        <v>453</v>
      </c>
      <c r="BD58" s="61" t="s">
        <v>454</v>
      </c>
      <c r="BE58" s="61" t="s">
        <v>462</v>
      </c>
      <c r="BF58" s="61" t="s">
        <v>456</v>
      </c>
      <c r="BG58" s="61" t="s">
        <v>456</v>
      </c>
      <c r="BH58" s="61" t="s">
        <v>456</v>
      </c>
      <c r="BI58" s="61" t="s">
        <v>456</v>
      </c>
      <c r="BJ58" s="61" t="s">
        <v>456</v>
      </c>
      <c r="BK58" s="61" t="s">
        <v>456</v>
      </c>
      <c r="BL58" s="61" t="s">
        <v>456</v>
      </c>
      <c r="BM58" s="61">
        <v>5095</v>
      </c>
      <c r="BN58" s="61">
        <v>988</v>
      </c>
      <c r="BO58" s="61">
        <v>1923</v>
      </c>
      <c r="BP58" s="61">
        <v>4958</v>
      </c>
      <c r="BQ58" s="61">
        <v>4407</v>
      </c>
      <c r="BR58" s="61">
        <v>0</v>
      </c>
      <c r="BS58" s="61">
        <v>0</v>
      </c>
      <c r="BT58" s="61">
        <v>0</v>
      </c>
      <c r="BU58" s="61">
        <v>0</v>
      </c>
      <c r="BV58" s="61">
        <v>0</v>
      </c>
      <c r="BW58" s="61">
        <v>0</v>
      </c>
      <c r="BX58" s="61">
        <v>0</v>
      </c>
      <c r="BY58" s="61" t="s">
        <v>452</v>
      </c>
      <c r="BZ58" s="61" t="s">
        <v>461</v>
      </c>
      <c r="CA58" s="61" t="s">
        <v>456</v>
      </c>
      <c r="CB58" s="66"/>
      <c r="CC58" s="61">
        <v>2</v>
      </c>
      <c r="CD58" s="61">
        <v>2</v>
      </c>
      <c r="CE58" s="61">
        <v>0</v>
      </c>
      <c r="CF58" s="61"/>
      <c r="CG58" s="61" t="s">
        <v>503</v>
      </c>
    </row>
    <row r="59" s="52" customFormat="1" ht="13.5" spans="1:85">
      <c r="A59" s="61" t="s">
        <v>45</v>
      </c>
      <c r="B59" s="61" t="s">
        <v>581</v>
      </c>
      <c r="C59" s="61">
        <v>12450</v>
      </c>
      <c r="D59" s="61"/>
      <c r="E59" s="61" t="s">
        <v>582</v>
      </c>
      <c r="F59" s="61" t="b">
        <f>IF(COUNTIF(按提示输入属性!D16,E59)&gt;0,TRUE,FALSE)</f>
        <v>0</v>
      </c>
      <c r="G59" s="61"/>
      <c r="H59" s="61"/>
      <c r="I59" s="61"/>
      <c r="J59" s="61"/>
      <c r="K59" s="61">
        <v>435</v>
      </c>
      <c r="L59" s="61">
        <f>INT(K59*F342)</f>
        <v>467</v>
      </c>
      <c r="M59" s="61">
        <v>846</v>
      </c>
      <c r="N59" s="61">
        <f>INT(M59*F342)</f>
        <v>909</v>
      </c>
      <c r="O59" s="61">
        <v>0</v>
      </c>
      <c r="P59" s="61">
        <f>INT(O59*F342)</f>
        <v>0</v>
      </c>
      <c r="Q59" s="61">
        <v>0</v>
      </c>
      <c r="R59" s="61">
        <f>INT(Q59*F342)</f>
        <v>0</v>
      </c>
      <c r="S59" s="61">
        <v>2181</v>
      </c>
      <c r="T59" s="61">
        <f>INT(S59*F342)</f>
        <v>2345</v>
      </c>
      <c r="U59" s="61">
        <v>1939</v>
      </c>
      <c r="V59" s="61">
        <f>INT(U59*F342)</f>
        <v>2084</v>
      </c>
      <c r="W59" s="61">
        <v>0</v>
      </c>
      <c r="X59" s="61">
        <f>INT(W59*F342)</f>
        <v>0</v>
      </c>
      <c r="Y59" s="61">
        <v>0</v>
      </c>
      <c r="Z59" s="61">
        <v>0</v>
      </c>
      <c r="AA59" s="61">
        <v>0</v>
      </c>
      <c r="AB59" s="61">
        <v>0</v>
      </c>
      <c r="AC59" s="61">
        <v>0</v>
      </c>
      <c r="AD59" s="61">
        <v>0</v>
      </c>
      <c r="AE59" s="61">
        <v>0</v>
      </c>
      <c r="AF59" s="61">
        <v>0</v>
      </c>
      <c r="AG59" s="61">
        <v>0</v>
      </c>
      <c r="AH59" s="61">
        <v>0</v>
      </c>
      <c r="AI59" s="61">
        <v>0</v>
      </c>
      <c r="AJ59" s="61"/>
      <c r="AK59" s="61"/>
      <c r="AL59" s="61"/>
      <c r="AM59" s="61"/>
      <c r="AN59" s="61"/>
      <c r="AO59" s="61"/>
      <c r="AP59" s="61" t="s">
        <v>465</v>
      </c>
      <c r="AQ59" s="61">
        <v>6</v>
      </c>
      <c r="AR59" s="61" t="s">
        <v>449</v>
      </c>
      <c r="AS59" s="61">
        <v>1</v>
      </c>
      <c r="AT59" s="61" t="s">
        <v>450</v>
      </c>
      <c r="AU59" s="61" t="s">
        <v>450</v>
      </c>
      <c r="AV59" s="61" t="s">
        <v>450</v>
      </c>
      <c r="AW59" s="61">
        <v>2242</v>
      </c>
      <c r="AX59" s="61">
        <v>0</v>
      </c>
      <c r="AY59" s="61">
        <v>0</v>
      </c>
      <c r="AZ59" s="61">
        <v>0</v>
      </c>
      <c r="BA59" s="61" t="s">
        <v>451</v>
      </c>
      <c r="BB59" s="61" t="s">
        <v>452</v>
      </c>
      <c r="BC59" s="61" t="s">
        <v>453</v>
      </c>
      <c r="BD59" s="61" t="s">
        <v>461</v>
      </c>
      <c r="BE59" s="61" t="s">
        <v>462</v>
      </c>
      <c r="BF59" s="61" t="s">
        <v>456</v>
      </c>
      <c r="BG59" s="61" t="s">
        <v>456</v>
      </c>
      <c r="BH59" s="61" t="s">
        <v>456</v>
      </c>
      <c r="BI59" s="61" t="s">
        <v>456</v>
      </c>
      <c r="BJ59" s="61" t="s">
        <v>456</v>
      </c>
      <c r="BK59" s="61" t="s">
        <v>456</v>
      </c>
      <c r="BL59" s="61" t="s">
        <v>456</v>
      </c>
      <c r="BM59" s="61">
        <v>3516</v>
      </c>
      <c r="BN59" s="61">
        <v>682</v>
      </c>
      <c r="BO59" s="61">
        <v>1327</v>
      </c>
      <c r="BP59" s="61">
        <v>3421</v>
      </c>
      <c r="BQ59" s="61">
        <v>3041</v>
      </c>
      <c r="BR59" s="61">
        <v>0</v>
      </c>
      <c r="BS59" s="61">
        <v>0</v>
      </c>
      <c r="BT59" s="61">
        <v>0</v>
      </c>
      <c r="BU59" s="61">
        <v>0</v>
      </c>
      <c r="BV59" s="61">
        <v>0</v>
      </c>
      <c r="BW59" s="61">
        <v>0</v>
      </c>
      <c r="BX59" s="61">
        <v>0</v>
      </c>
      <c r="BY59" s="61" t="s">
        <v>461</v>
      </c>
      <c r="BZ59" s="61" t="s">
        <v>453</v>
      </c>
      <c r="CA59" s="61" t="s">
        <v>456</v>
      </c>
      <c r="CB59" s="66"/>
      <c r="CC59" s="61">
        <v>2</v>
      </c>
      <c r="CD59" s="61">
        <v>2</v>
      </c>
      <c r="CE59" s="61">
        <v>0</v>
      </c>
      <c r="CF59" s="61"/>
      <c r="CG59" s="61" t="s">
        <v>449</v>
      </c>
    </row>
    <row r="60" s="52" customFormat="1" ht="13.5" spans="1:85">
      <c r="A60" s="61" t="s">
        <v>45</v>
      </c>
      <c r="B60" s="61" t="s">
        <v>583</v>
      </c>
      <c r="C60" s="61">
        <v>12450</v>
      </c>
      <c r="D60" s="61"/>
      <c r="E60" s="61" t="s">
        <v>584</v>
      </c>
      <c r="F60" s="61" t="b">
        <f>IF(COUNTIF(按提示输入属性!D16,E60)&gt;0,TRUE,FALSE)</f>
        <v>0</v>
      </c>
      <c r="G60" s="61"/>
      <c r="H60" s="61"/>
      <c r="I60" s="61"/>
      <c r="J60" s="61"/>
      <c r="K60" s="61">
        <v>435</v>
      </c>
      <c r="L60" s="61">
        <f>INT(K60*F342)</f>
        <v>467</v>
      </c>
      <c r="M60" s="61">
        <v>846</v>
      </c>
      <c r="N60" s="61">
        <f>INT(M60*F342)</f>
        <v>909</v>
      </c>
      <c r="O60" s="61">
        <v>2181</v>
      </c>
      <c r="P60" s="61">
        <f>INT(O60*F342)</f>
        <v>2345</v>
      </c>
      <c r="Q60" s="61">
        <v>0</v>
      </c>
      <c r="R60" s="61">
        <f>INT(Q60*F342)</f>
        <v>0</v>
      </c>
      <c r="S60" s="61">
        <v>0</v>
      </c>
      <c r="T60" s="61">
        <f>INT(S60*F342)</f>
        <v>0</v>
      </c>
      <c r="U60" s="61">
        <v>0</v>
      </c>
      <c r="V60" s="61">
        <f>INT(U60*F342)</f>
        <v>0</v>
      </c>
      <c r="W60" s="61">
        <v>1939</v>
      </c>
      <c r="X60" s="61">
        <f>INT(W60*F342)</f>
        <v>2084</v>
      </c>
      <c r="Y60" s="61">
        <v>0</v>
      </c>
      <c r="Z60" s="61">
        <v>0</v>
      </c>
      <c r="AA60" s="61">
        <v>0</v>
      </c>
      <c r="AB60" s="61">
        <v>0</v>
      </c>
      <c r="AC60" s="61">
        <v>0</v>
      </c>
      <c r="AD60" s="61">
        <v>0</v>
      </c>
      <c r="AE60" s="61">
        <v>0</v>
      </c>
      <c r="AF60" s="61">
        <v>0</v>
      </c>
      <c r="AG60" s="61">
        <v>0</v>
      </c>
      <c r="AH60" s="61">
        <v>0</v>
      </c>
      <c r="AI60" s="61">
        <v>0</v>
      </c>
      <c r="AJ60" s="61"/>
      <c r="AK60" s="61"/>
      <c r="AL60" s="61"/>
      <c r="AM60" s="61"/>
      <c r="AN60" s="61"/>
      <c r="AO60" s="61"/>
      <c r="AP60" s="61" t="s">
        <v>460</v>
      </c>
      <c r="AQ60" s="61">
        <v>6</v>
      </c>
      <c r="AR60" s="61" t="s">
        <v>449</v>
      </c>
      <c r="AS60" s="61">
        <v>1</v>
      </c>
      <c r="AT60" s="61" t="s">
        <v>450</v>
      </c>
      <c r="AU60" s="61" t="s">
        <v>450</v>
      </c>
      <c r="AV60" s="61" t="s">
        <v>450</v>
      </c>
      <c r="AW60" s="61">
        <v>2242</v>
      </c>
      <c r="AX60" s="61">
        <v>0</v>
      </c>
      <c r="AY60" s="61">
        <v>0</v>
      </c>
      <c r="AZ60" s="61">
        <v>0</v>
      </c>
      <c r="BA60" s="61" t="s">
        <v>451</v>
      </c>
      <c r="BB60" s="61" t="s">
        <v>452</v>
      </c>
      <c r="BC60" s="61" t="s">
        <v>453</v>
      </c>
      <c r="BD60" s="61" t="s">
        <v>454</v>
      </c>
      <c r="BE60" s="61" t="s">
        <v>462</v>
      </c>
      <c r="BF60" s="61" t="s">
        <v>456</v>
      </c>
      <c r="BG60" s="61" t="s">
        <v>456</v>
      </c>
      <c r="BH60" s="61" t="s">
        <v>456</v>
      </c>
      <c r="BI60" s="61" t="s">
        <v>456</v>
      </c>
      <c r="BJ60" s="61" t="s">
        <v>456</v>
      </c>
      <c r="BK60" s="61" t="s">
        <v>456</v>
      </c>
      <c r="BL60" s="61" t="s">
        <v>456</v>
      </c>
      <c r="BM60" s="61">
        <v>3516</v>
      </c>
      <c r="BN60" s="61">
        <v>682</v>
      </c>
      <c r="BO60" s="61">
        <v>1327</v>
      </c>
      <c r="BP60" s="61">
        <v>3421</v>
      </c>
      <c r="BQ60" s="61">
        <v>3041</v>
      </c>
      <c r="BR60" s="61">
        <v>0</v>
      </c>
      <c r="BS60" s="61">
        <v>0</v>
      </c>
      <c r="BT60" s="61">
        <v>0</v>
      </c>
      <c r="BU60" s="61">
        <v>0</v>
      </c>
      <c r="BV60" s="61">
        <v>0</v>
      </c>
      <c r="BW60" s="61">
        <v>0</v>
      </c>
      <c r="BX60" s="61">
        <v>0</v>
      </c>
      <c r="BY60" s="61" t="s">
        <v>462</v>
      </c>
      <c r="BZ60" s="61" t="s">
        <v>461</v>
      </c>
      <c r="CA60" s="61" t="s">
        <v>456</v>
      </c>
      <c r="CB60" s="66"/>
      <c r="CC60" s="61">
        <v>2</v>
      </c>
      <c r="CD60" s="61">
        <v>2</v>
      </c>
      <c r="CE60" s="61">
        <v>0</v>
      </c>
      <c r="CF60" s="61"/>
      <c r="CG60" s="61" t="s">
        <v>449</v>
      </c>
    </row>
    <row r="61" s="54" customFormat="1" ht="13.5" spans="1:85">
      <c r="A61" s="63" t="s">
        <v>45</v>
      </c>
      <c r="B61" s="63" t="s">
        <v>585</v>
      </c>
      <c r="C61" s="63">
        <v>12450</v>
      </c>
      <c r="D61" s="63"/>
      <c r="E61" s="63" t="s">
        <v>586</v>
      </c>
      <c r="F61" s="63" t="b">
        <f>IF(COUNTIF(按提示输入属性!D16,E61)&gt;0,TRUE,FALSE)</f>
        <v>0</v>
      </c>
      <c r="G61" s="63"/>
      <c r="H61" s="63"/>
      <c r="I61" s="63"/>
      <c r="J61" s="63"/>
      <c r="K61" s="63">
        <v>0</v>
      </c>
      <c r="L61" s="63">
        <f>INT(K61*F342)</f>
        <v>0</v>
      </c>
      <c r="M61" s="63">
        <v>2213</v>
      </c>
      <c r="N61" s="63">
        <f>INT(M61*F343)</f>
        <v>2297</v>
      </c>
      <c r="O61" s="63">
        <v>0</v>
      </c>
      <c r="P61" s="61">
        <f>INT(O61*F343)</f>
        <v>0</v>
      </c>
      <c r="Q61" s="63">
        <v>0</v>
      </c>
      <c r="R61" s="61">
        <f>INT(Q61*F342)</f>
        <v>0</v>
      </c>
      <c r="S61" s="63">
        <v>0</v>
      </c>
      <c r="T61" s="61">
        <f>INT(S61*F343)</f>
        <v>0</v>
      </c>
      <c r="U61" s="63">
        <v>0</v>
      </c>
      <c r="V61" s="61">
        <f>INT(U61*F343)</f>
        <v>0</v>
      </c>
      <c r="W61" s="63">
        <v>4059</v>
      </c>
      <c r="X61" s="61">
        <f>INT(W61*F343)</f>
        <v>4213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/>
      <c r="AK61" s="63"/>
      <c r="AL61" s="63"/>
      <c r="AM61" s="63"/>
      <c r="AN61" s="63"/>
      <c r="AO61" s="63"/>
      <c r="AP61" s="63" t="s">
        <v>519</v>
      </c>
      <c r="AQ61" s="63">
        <v>4</v>
      </c>
      <c r="AR61" s="63" t="s">
        <v>449</v>
      </c>
      <c r="AS61" s="63">
        <v>1</v>
      </c>
      <c r="AT61" s="63" t="s">
        <v>450</v>
      </c>
      <c r="AU61" s="63" t="s">
        <v>450</v>
      </c>
      <c r="AV61" s="63" t="s">
        <v>450</v>
      </c>
      <c r="AW61" s="63">
        <v>2242</v>
      </c>
      <c r="AX61" s="63">
        <v>0</v>
      </c>
      <c r="AY61" s="63">
        <v>0</v>
      </c>
      <c r="AZ61" s="63">
        <v>0</v>
      </c>
      <c r="BA61" s="63" t="s">
        <v>451</v>
      </c>
      <c r="BB61" s="63" t="s">
        <v>452</v>
      </c>
      <c r="BC61" s="63" t="s">
        <v>453</v>
      </c>
      <c r="BD61" s="63" t="s">
        <v>587</v>
      </c>
      <c r="BE61" s="63" t="s">
        <v>455</v>
      </c>
      <c r="BF61" s="63" t="s">
        <v>456</v>
      </c>
      <c r="BG61" s="63" t="s">
        <v>456</v>
      </c>
      <c r="BH61" s="63" t="s">
        <v>456</v>
      </c>
      <c r="BI61" s="63" t="s">
        <v>456</v>
      </c>
      <c r="BJ61" s="63" t="s">
        <v>456</v>
      </c>
      <c r="BK61" s="63" t="s">
        <v>456</v>
      </c>
      <c r="BL61" s="63" t="s">
        <v>456</v>
      </c>
      <c r="BM61" s="63">
        <v>3516</v>
      </c>
      <c r="BN61" s="63">
        <v>682</v>
      </c>
      <c r="BO61" s="63">
        <v>1327</v>
      </c>
      <c r="BP61" s="63">
        <v>3421</v>
      </c>
      <c r="BQ61" s="63">
        <v>3041</v>
      </c>
      <c r="BR61" s="63">
        <v>0</v>
      </c>
      <c r="BS61" s="63">
        <v>0</v>
      </c>
      <c r="BT61" s="63">
        <v>0</v>
      </c>
      <c r="BU61" s="63">
        <v>0</v>
      </c>
      <c r="BV61" s="63">
        <v>0</v>
      </c>
      <c r="BW61" s="63">
        <v>0</v>
      </c>
      <c r="BX61" s="63">
        <v>0</v>
      </c>
      <c r="BY61" s="63" t="s">
        <v>453</v>
      </c>
      <c r="BZ61" s="63" t="s">
        <v>452</v>
      </c>
      <c r="CA61" s="63" t="s">
        <v>456</v>
      </c>
      <c r="CB61" s="65"/>
      <c r="CC61" s="63">
        <v>2</v>
      </c>
      <c r="CD61" s="63">
        <v>2</v>
      </c>
      <c r="CE61" s="63">
        <v>0</v>
      </c>
      <c r="CF61" s="63"/>
      <c r="CG61" s="63" t="s">
        <v>449</v>
      </c>
    </row>
    <row r="62" s="54" customFormat="1" ht="13.5" spans="1:85">
      <c r="A62" s="63" t="s">
        <v>45</v>
      </c>
      <c r="B62" s="63" t="s">
        <v>588</v>
      </c>
      <c r="C62" s="63">
        <v>12450</v>
      </c>
      <c r="D62" s="63"/>
      <c r="E62" s="63" t="s">
        <v>589</v>
      </c>
      <c r="F62" s="63" t="b">
        <f>IF(COUNTIF(按提示输入属性!D16,E62)&gt;0,TRUE,FALSE)</f>
        <v>0</v>
      </c>
      <c r="G62" s="63"/>
      <c r="H62" s="63"/>
      <c r="I62" s="63"/>
      <c r="J62" s="63"/>
      <c r="K62" s="63">
        <v>0</v>
      </c>
      <c r="L62" s="63">
        <f>INT(K62*F342)</f>
        <v>0</v>
      </c>
      <c r="M62" s="63">
        <v>1823</v>
      </c>
      <c r="N62" s="63">
        <f>INT(M62*F343)</f>
        <v>1892</v>
      </c>
      <c r="O62" s="63">
        <v>0</v>
      </c>
      <c r="P62" s="61">
        <f>INT(O62*F343)</f>
        <v>0</v>
      </c>
      <c r="Q62" s="63">
        <v>0</v>
      </c>
      <c r="R62" s="61">
        <f>INT(Q62*F342)</f>
        <v>0</v>
      </c>
      <c r="S62" s="63">
        <v>2302</v>
      </c>
      <c r="T62" s="61">
        <f>INT(S62*F343)</f>
        <v>2389</v>
      </c>
      <c r="U62" s="63">
        <v>2545</v>
      </c>
      <c r="V62" s="61">
        <f>INT(U62*F343)</f>
        <v>2641</v>
      </c>
      <c r="W62" s="63">
        <v>0</v>
      </c>
      <c r="X62" s="61">
        <f>INT(W62*F343)</f>
        <v>0</v>
      </c>
      <c r="Y62" s="63">
        <v>0</v>
      </c>
      <c r="Z62" s="63">
        <v>0</v>
      </c>
      <c r="AA62" s="63">
        <v>0</v>
      </c>
      <c r="AB62" s="63">
        <v>0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/>
      <c r="AK62" s="63"/>
      <c r="AL62" s="63"/>
      <c r="AM62" s="63"/>
      <c r="AN62" s="63"/>
      <c r="AO62" s="63"/>
      <c r="AP62" s="63" t="s">
        <v>521</v>
      </c>
      <c r="AQ62" s="63">
        <v>4</v>
      </c>
      <c r="AR62" s="63" t="s">
        <v>449</v>
      </c>
      <c r="AS62" s="63">
        <v>1</v>
      </c>
      <c r="AT62" s="63" t="s">
        <v>450</v>
      </c>
      <c r="AU62" s="63" t="s">
        <v>450</v>
      </c>
      <c r="AV62" s="63" t="s">
        <v>450</v>
      </c>
      <c r="AW62" s="63">
        <v>2242</v>
      </c>
      <c r="AX62" s="63">
        <v>0</v>
      </c>
      <c r="AY62" s="63">
        <v>0</v>
      </c>
      <c r="AZ62" s="63">
        <v>0</v>
      </c>
      <c r="BA62" s="63" t="s">
        <v>451</v>
      </c>
      <c r="BB62" s="63" t="s">
        <v>452</v>
      </c>
      <c r="BC62" s="63" t="s">
        <v>453</v>
      </c>
      <c r="BD62" s="63" t="s">
        <v>587</v>
      </c>
      <c r="BE62" s="63" t="s">
        <v>462</v>
      </c>
      <c r="BF62" s="63" t="s">
        <v>456</v>
      </c>
      <c r="BG62" s="63" t="s">
        <v>456</v>
      </c>
      <c r="BH62" s="63" t="s">
        <v>456</v>
      </c>
      <c r="BI62" s="63" t="s">
        <v>456</v>
      </c>
      <c r="BJ62" s="63" t="s">
        <v>456</v>
      </c>
      <c r="BK62" s="63" t="s">
        <v>456</v>
      </c>
      <c r="BL62" s="63" t="s">
        <v>456</v>
      </c>
      <c r="BM62" s="63">
        <v>5023</v>
      </c>
      <c r="BN62" s="63">
        <v>974</v>
      </c>
      <c r="BO62" s="63">
        <v>1896</v>
      </c>
      <c r="BP62" s="63">
        <v>4888</v>
      </c>
      <c r="BQ62" s="63">
        <v>4344</v>
      </c>
      <c r="BR62" s="63">
        <v>0</v>
      </c>
      <c r="BS62" s="63">
        <v>0</v>
      </c>
      <c r="BT62" s="63">
        <v>0</v>
      </c>
      <c r="BU62" s="63">
        <v>0</v>
      </c>
      <c r="BV62" s="63">
        <v>0</v>
      </c>
      <c r="BW62" s="63">
        <v>0</v>
      </c>
      <c r="BX62" s="63">
        <v>0</v>
      </c>
      <c r="BY62" s="63" t="s">
        <v>455</v>
      </c>
      <c r="BZ62" s="63" t="s">
        <v>461</v>
      </c>
      <c r="CA62" s="63" t="s">
        <v>456</v>
      </c>
      <c r="CB62" s="65"/>
      <c r="CC62" s="63">
        <v>2</v>
      </c>
      <c r="CD62" s="63">
        <v>2</v>
      </c>
      <c r="CE62" s="63">
        <v>0</v>
      </c>
      <c r="CF62" s="63"/>
      <c r="CG62" s="63" t="s">
        <v>449</v>
      </c>
    </row>
    <row r="63" s="54" customFormat="1" ht="13.5" spans="1:85">
      <c r="A63" s="63" t="s">
        <v>45</v>
      </c>
      <c r="B63" s="63" t="s">
        <v>590</v>
      </c>
      <c r="C63" s="63">
        <v>12450</v>
      </c>
      <c r="D63" s="63"/>
      <c r="E63" s="63" t="s">
        <v>591</v>
      </c>
      <c r="F63" s="63" t="b">
        <f>IF(COUNTIF(按提示输入属性!D16,E63)&gt;0,TRUE,FALSE)</f>
        <v>0</v>
      </c>
      <c r="G63" s="63"/>
      <c r="H63" s="63"/>
      <c r="I63" s="63"/>
      <c r="J63" s="63"/>
      <c r="K63" s="63">
        <v>0</v>
      </c>
      <c r="L63" s="63">
        <f>INT(K63*F342)</f>
        <v>0</v>
      </c>
      <c r="M63" s="63">
        <v>1562</v>
      </c>
      <c r="N63" s="63">
        <f>INT(M63*F343)</f>
        <v>1621</v>
      </c>
      <c r="O63" s="63">
        <v>1575</v>
      </c>
      <c r="P63" s="63">
        <f>INT(O63*F343)</f>
        <v>1634</v>
      </c>
      <c r="Q63" s="63">
        <v>0</v>
      </c>
      <c r="R63" s="63">
        <f>INT(Q63*F342)</f>
        <v>0</v>
      </c>
      <c r="S63" s="63">
        <v>0</v>
      </c>
      <c r="T63" s="63">
        <f>INT(S63*F343)</f>
        <v>0</v>
      </c>
      <c r="U63" s="63">
        <v>0</v>
      </c>
      <c r="V63" s="63">
        <f>INT(U63*F343)</f>
        <v>0</v>
      </c>
      <c r="W63" s="63">
        <v>3877</v>
      </c>
      <c r="X63" s="63">
        <f>INT(W63*F343)</f>
        <v>4024</v>
      </c>
      <c r="Y63" s="63">
        <v>0</v>
      </c>
      <c r="Z63" s="63">
        <v>0</v>
      </c>
      <c r="AA63" s="63">
        <v>0</v>
      </c>
      <c r="AB63" s="63">
        <v>0</v>
      </c>
      <c r="AC63" s="63">
        <v>0</v>
      </c>
      <c r="AD63" s="63"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/>
      <c r="AK63" s="63"/>
      <c r="AL63" s="63"/>
      <c r="AM63" s="63"/>
      <c r="AN63" s="63"/>
      <c r="AO63" s="63"/>
      <c r="AP63" s="63" t="s">
        <v>551</v>
      </c>
      <c r="AQ63" s="63">
        <v>4</v>
      </c>
      <c r="AR63" s="63" t="s">
        <v>449</v>
      </c>
      <c r="AS63" s="63">
        <v>1</v>
      </c>
      <c r="AT63" s="63" t="s">
        <v>450</v>
      </c>
      <c r="AU63" s="63" t="s">
        <v>450</v>
      </c>
      <c r="AV63" s="63" t="s">
        <v>450</v>
      </c>
      <c r="AW63" s="63">
        <v>2242</v>
      </c>
      <c r="AX63" s="63">
        <v>0</v>
      </c>
      <c r="AY63" s="63">
        <v>0</v>
      </c>
      <c r="AZ63" s="63">
        <v>0</v>
      </c>
      <c r="BA63" s="63" t="s">
        <v>451</v>
      </c>
      <c r="BB63" s="63" t="s">
        <v>452</v>
      </c>
      <c r="BC63" s="63" t="s">
        <v>453</v>
      </c>
      <c r="BD63" s="63" t="s">
        <v>461</v>
      </c>
      <c r="BE63" s="63" t="s">
        <v>462</v>
      </c>
      <c r="BF63" s="63" t="s">
        <v>456</v>
      </c>
      <c r="BG63" s="63" t="s">
        <v>456</v>
      </c>
      <c r="BH63" s="63" t="s">
        <v>456</v>
      </c>
      <c r="BI63" s="63" t="s">
        <v>456</v>
      </c>
      <c r="BJ63" s="63" t="s">
        <v>456</v>
      </c>
      <c r="BK63" s="63" t="s">
        <v>456</v>
      </c>
      <c r="BL63" s="63" t="s">
        <v>456</v>
      </c>
      <c r="BM63" s="63">
        <v>4521</v>
      </c>
      <c r="BN63" s="63">
        <v>877</v>
      </c>
      <c r="BO63" s="63">
        <v>1707</v>
      </c>
      <c r="BP63" s="63">
        <v>4399</v>
      </c>
      <c r="BQ63" s="63">
        <v>3910</v>
      </c>
      <c r="BR63" s="63">
        <v>0</v>
      </c>
      <c r="BS63" s="63">
        <v>0</v>
      </c>
      <c r="BT63" s="63">
        <v>0</v>
      </c>
      <c r="BU63" s="63">
        <v>0</v>
      </c>
      <c r="BV63" s="63">
        <v>0</v>
      </c>
      <c r="BW63" s="63">
        <v>0</v>
      </c>
      <c r="BX63" s="63">
        <v>0</v>
      </c>
      <c r="BY63" s="63" t="s">
        <v>454</v>
      </c>
      <c r="BZ63" s="63" t="s">
        <v>462</v>
      </c>
      <c r="CA63" s="63" t="s">
        <v>456</v>
      </c>
      <c r="CB63" s="65"/>
      <c r="CC63" s="63">
        <v>2</v>
      </c>
      <c r="CD63" s="63">
        <v>2</v>
      </c>
      <c r="CE63" s="63">
        <v>0</v>
      </c>
      <c r="CF63" s="63"/>
      <c r="CG63" s="63" t="s">
        <v>449</v>
      </c>
    </row>
    <row r="64" s="54" customFormat="1" ht="13.5" spans="1:85">
      <c r="A64" s="63" t="s">
        <v>45</v>
      </c>
      <c r="B64" s="63" t="s">
        <v>592</v>
      </c>
      <c r="C64" s="63">
        <v>12450</v>
      </c>
      <c r="D64" s="63"/>
      <c r="E64" s="63" t="s">
        <v>593</v>
      </c>
      <c r="F64" s="63" t="b">
        <f>IF(COUNTIF(按提示输入属性!D16,E64)&gt;0,TRUE,FALSE)</f>
        <v>0</v>
      </c>
      <c r="G64" s="63"/>
      <c r="H64" s="63"/>
      <c r="I64" s="63"/>
      <c r="J64" s="63"/>
      <c r="K64" s="63">
        <v>0</v>
      </c>
      <c r="L64" s="63">
        <f>INT(K64*F342)</f>
        <v>0</v>
      </c>
      <c r="M64" s="63">
        <v>1823</v>
      </c>
      <c r="N64" s="63">
        <f>INT(M64*F343)</f>
        <v>1892</v>
      </c>
      <c r="O64" s="63">
        <v>0</v>
      </c>
      <c r="P64" s="61">
        <f>INT(O64*F343)</f>
        <v>0</v>
      </c>
      <c r="Q64" s="63">
        <v>0</v>
      </c>
      <c r="R64" s="61">
        <f>INT(Q64*F342)</f>
        <v>0</v>
      </c>
      <c r="S64" s="63">
        <v>2302</v>
      </c>
      <c r="T64" s="61">
        <f>INT(S64*F343)</f>
        <v>2389</v>
      </c>
      <c r="U64" s="63">
        <v>0</v>
      </c>
      <c r="V64" s="61">
        <f>INT(U64*F343)</f>
        <v>0</v>
      </c>
      <c r="W64" s="63">
        <v>2545</v>
      </c>
      <c r="X64" s="61">
        <f>INT(W64*F343)</f>
        <v>2641</v>
      </c>
      <c r="Y64" s="63">
        <v>0</v>
      </c>
      <c r="Z64" s="63">
        <v>0</v>
      </c>
      <c r="AA64" s="63">
        <v>0</v>
      </c>
      <c r="AB64" s="63">
        <v>0</v>
      </c>
      <c r="AC64" s="63">
        <v>0</v>
      </c>
      <c r="AD64" s="63">
        <v>0</v>
      </c>
      <c r="AE64" s="63">
        <v>0</v>
      </c>
      <c r="AF64" s="63">
        <v>0</v>
      </c>
      <c r="AG64" s="63">
        <v>0</v>
      </c>
      <c r="AH64" s="63">
        <v>0</v>
      </c>
      <c r="AI64" s="63">
        <v>0</v>
      </c>
      <c r="AJ64" s="63"/>
      <c r="AK64" s="63"/>
      <c r="AL64" s="63"/>
      <c r="AM64" s="63"/>
      <c r="AN64" s="63"/>
      <c r="AO64" s="63"/>
      <c r="AP64" s="63" t="s">
        <v>548</v>
      </c>
      <c r="AQ64" s="63">
        <v>4</v>
      </c>
      <c r="AR64" s="63" t="s">
        <v>449</v>
      </c>
      <c r="AS64" s="63">
        <v>1</v>
      </c>
      <c r="AT64" s="63" t="s">
        <v>450</v>
      </c>
      <c r="AU64" s="63" t="s">
        <v>450</v>
      </c>
      <c r="AV64" s="63" t="s">
        <v>450</v>
      </c>
      <c r="AW64" s="63">
        <v>2242</v>
      </c>
      <c r="AX64" s="63">
        <v>0</v>
      </c>
      <c r="AY64" s="63">
        <v>0</v>
      </c>
      <c r="AZ64" s="63">
        <v>0</v>
      </c>
      <c r="BA64" s="63" t="s">
        <v>451</v>
      </c>
      <c r="BB64" s="63" t="s">
        <v>452</v>
      </c>
      <c r="BC64" s="63" t="s">
        <v>453</v>
      </c>
      <c r="BD64" s="63" t="s">
        <v>454</v>
      </c>
      <c r="BE64" s="63" t="s">
        <v>455</v>
      </c>
      <c r="BF64" s="63" t="s">
        <v>456</v>
      </c>
      <c r="BG64" s="63" t="s">
        <v>456</v>
      </c>
      <c r="BH64" s="63" t="s">
        <v>456</v>
      </c>
      <c r="BI64" s="63" t="s">
        <v>456</v>
      </c>
      <c r="BJ64" s="63" t="s">
        <v>456</v>
      </c>
      <c r="BK64" s="63" t="s">
        <v>456</v>
      </c>
      <c r="BL64" s="63" t="s">
        <v>456</v>
      </c>
      <c r="BM64" s="63">
        <v>5023</v>
      </c>
      <c r="BN64" s="63">
        <v>974</v>
      </c>
      <c r="BO64" s="63">
        <v>1896</v>
      </c>
      <c r="BP64" s="63">
        <v>4888</v>
      </c>
      <c r="BQ64" s="63">
        <v>4344</v>
      </c>
      <c r="BR64" s="63">
        <v>0</v>
      </c>
      <c r="BS64" s="63">
        <v>0</v>
      </c>
      <c r="BT64" s="63">
        <v>0</v>
      </c>
      <c r="BU64" s="63">
        <v>0</v>
      </c>
      <c r="BV64" s="63">
        <v>0</v>
      </c>
      <c r="BW64" s="63">
        <v>0</v>
      </c>
      <c r="BX64" s="63">
        <v>0</v>
      </c>
      <c r="BY64" s="63" t="s">
        <v>452</v>
      </c>
      <c r="BZ64" s="63" t="s">
        <v>461</v>
      </c>
      <c r="CA64" s="63" t="s">
        <v>456</v>
      </c>
      <c r="CB64" s="65"/>
      <c r="CC64" s="63">
        <v>2</v>
      </c>
      <c r="CD64" s="63">
        <v>2</v>
      </c>
      <c r="CE64" s="63">
        <v>0</v>
      </c>
      <c r="CF64" s="63"/>
      <c r="CG64" s="63" t="s">
        <v>449</v>
      </c>
    </row>
    <row r="65" s="52" customFormat="1" ht="13.5" spans="1:85">
      <c r="A65" s="61" t="s">
        <v>45</v>
      </c>
      <c r="B65" s="61" t="s">
        <v>594</v>
      </c>
      <c r="C65" s="61">
        <v>12450</v>
      </c>
      <c r="D65" s="61"/>
      <c r="E65" s="61" t="s">
        <v>595</v>
      </c>
      <c r="F65" s="61" t="b">
        <f>IF(COUNTIF(按提示输入属性!D16,E65)&gt;0,TRUE,FALSE)</f>
        <v>0</v>
      </c>
      <c r="G65" s="61"/>
      <c r="H65" s="61"/>
      <c r="I65" s="61"/>
      <c r="J65" s="61"/>
      <c r="K65" s="61">
        <v>435</v>
      </c>
      <c r="L65" s="61">
        <f>INT(K65*F342)</f>
        <v>467</v>
      </c>
      <c r="M65" s="61">
        <v>846</v>
      </c>
      <c r="N65" s="61">
        <f>INT(M65*F342)</f>
        <v>909</v>
      </c>
      <c r="O65" s="61">
        <v>0</v>
      </c>
      <c r="P65" s="61">
        <f>INT(O65*F342)</f>
        <v>0</v>
      </c>
      <c r="Q65" s="61">
        <v>0</v>
      </c>
      <c r="R65" s="61">
        <f>INT(Q65*F342)</f>
        <v>0</v>
      </c>
      <c r="S65" s="61">
        <v>2181</v>
      </c>
      <c r="T65" s="61">
        <f>INT(S65*F342)</f>
        <v>2345</v>
      </c>
      <c r="U65" s="61">
        <v>0</v>
      </c>
      <c r="V65" s="61">
        <f>INT(U65*F342)</f>
        <v>0</v>
      </c>
      <c r="W65" s="61">
        <v>1939</v>
      </c>
      <c r="X65" s="61">
        <f>INT(W65*F342)</f>
        <v>2084</v>
      </c>
      <c r="Y65" s="61">
        <v>0</v>
      </c>
      <c r="Z65" s="61">
        <v>0</v>
      </c>
      <c r="AA65" s="61">
        <v>0</v>
      </c>
      <c r="AB65" s="61">
        <v>0</v>
      </c>
      <c r="AC65" s="61">
        <v>0</v>
      </c>
      <c r="AD65" s="61">
        <v>0</v>
      </c>
      <c r="AE65" s="61">
        <v>0</v>
      </c>
      <c r="AF65" s="61">
        <v>0</v>
      </c>
      <c r="AG65" s="61">
        <v>0</v>
      </c>
      <c r="AH65" s="61">
        <v>0</v>
      </c>
      <c r="AI65" s="61">
        <v>0</v>
      </c>
      <c r="AJ65" s="61"/>
      <c r="AK65" s="61"/>
      <c r="AL65" s="61"/>
      <c r="AM65" s="61"/>
      <c r="AN65" s="61"/>
      <c r="AO65" s="61"/>
      <c r="AP65" s="61" t="s">
        <v>486</v>
      </c>
      <c r="AQ65" s="61">
        <v>6</v>
      </c>
      <c r="AR65" s="61" t="s">
        <v>524</v>
      </c>
      <c r="AS65" s="61">
        <v>1</v>
      </c>
      <c r="AT65" s="61" t="s">
        <v>450</v>
      </c>
      <c r="AU65" s="61" t="s">
        <v>450</v>
      </c>
      <c r="AV65" s="61" t="s">
        <v>450</v>
      </c>
      <c r="AW65" s="61">
        <v>2242</v>
      </c>
      <c r="AX65" s="61">
        <v>0</v>
      </c>
      <c r="AY65" s="61">
        <v>0</v>
      </c>
      <c r="AZ65" s="61">
        <v>0</v>
      </c>
      <c r="BA65" s="61" t="s">
        <v>451</v>
      </c>
      <c r="BB65" s="61" t="s">
        <v>452</v>
      </c>
      <c r="BC65" s="61" t="s">
        <v>453</v>
      </c>
      <c r="BD65" s="61" t="s">
        <v>454</v>
      </c>
      <c r="BE65" s="61" t="s">
        <v>462</v>
      </c>
      <c r="BF65" s="61" t="s">
        <v>456</v>
      </c>
      <c r="BG65" s="61" t="s">
        <v>456</v>
      </c>
      <c r="BH65" s="61" t="s">
        <v>456</v>
      </c>
      <c r="BI65" s="61" t="s">
        <v>456</v>
      </c>
      <c r="BJ65" s="61" t="s">
        <v>456</v>
      </c>
      <c r="BK65" s="61" t="s">
        <v>456</v>
      </c>
      <c r="BL65" s="61" t="s">
        <v>456</v>
      </c>
      <c r="BM65" s="61">
        <v>3516</v>
      </c>
      <c r="BN65" s="61">
        <v>682</v>
      </c>
      <c r="BO65" s="61">
        <v>1327</v>
      </c>
      <c r="BP65" s="61">
        <v>3421</v>
      </c>
      <c r="BQ65" s="61">
        <v>3041</v>
      </c>
      <c r="BR65" s="61">
        <v>0</v>
      </c>
      <c r="BS65" s="61">
        <v>0</v>
      </c>
      <c r="BT65" s="61">
        <v>0</v>
      </c>
      <c r="BU65" s="61">
        <v>0</v>
      </c>
      <c r="BV65" s="61">
        <v>0</v>
      </c>
      <c r="BW65" s="61">
        <v>0</v>
      </c>
      <c r="BX65" s="61">
        <v>0</v>
      </c>
      <c r="BY65" s="61" t="s">
        <v>462</v>
      </c>
      <c r="BZ65" s="61" t="s">
        <v>452</v>
      </c>
      <c r="CA65" s="61" t="s">
        <v>456</v>
      </c>
      <c r="CB65" s="66"/>
      <c r="CC65" s="61">
        <v>2</v>
      </c>
      <c r="CD65" s="61">
        <v>2</v>
      </c>
      <c r="CE65" s="61">
        <v>0</v>
      </c>
      <c r="CF65" s="61"/>
      <c r="CG65" s="61" t="s">
        <v>449</v>
      </c>
    </row>
    <row r="66" s="52" customFormat="1" ht="13.5" spans="1:85">
      <c r="A66" s="61" t="s">
        <v>45</v>
      </c>
      <c r="B66" s="61" t="s">
        <v>596</v>
      </c>
      <c r="C66" s="61">
        <v>12450</v>
      </c>
      <c r="D66" s="61"/>
      <c r="E66" s="61" t="s">
        <v>597</v>
      </c>
      <c r="F66" s="61" t="b">
        <f>IF(COUNTIF(按提示输入属性!D16,E66)&gt;0,TRUE,FALSE)</f>
        <v>0</v>
      </c>
      <c r="G66" s="61"/>
      <c r="H66" s="61"/>
      <c r="I66" s="61"/>
      <c r="J66" s="61"/>
      <c r="K66" s="61">
        <v>435</v>
      </c>
      <c r="L66" s="61">
        <f>INT(K66*F342)</f>
        <v>467</v>
      </c>
      <c r="M66" s="61">
        <v>846</v>
      </c>
      <c r="N66" s="61">
        <f>INT(M66*F342)</f>
        <v>909</v>
      </c>
      <c r="O66" s="61">
        <v>2181</v>
      </c>
      <c r="P66" s="61">
        <f>INT(O66*F342)</f>
        <v>2345</v>
      </c>
      <c r="Q66" s="61">
        <v>0</v>
      </c>
      <c r="R66" s="61">
        <f>INT(Q66*F342)</f>
        <v>0</v>
      </c>
      <c r="S66" s="61">
        <v>0</v>
      </c>
      <c r="T66" s="61">
        <f>INT(S66*F342)</f>
        <v>0</v>
      </c>
      <c r="U66" s="61">
        <v>1939</v>
      </c>
      <c r="V66" s="61">
        <f>INT(U66*F342)</f>
        <v>2084</v>
      </c>
      <c r="W66" s="61">
        <v>0</v>
      </c>
      <c r="X66" s="61">
        <f>INT(W66*F342)</f>
        <v>0</v>
      </c>
      <c r="Y66" s="61">
        <v>0</v>
      </c>
      <c r="Z66" s="61">
        <v>0</v>
      </c>
      <c r="AA66" s="61">
        <v>0</v>
      </c>
      <c r="AB66" s="61">
        <v>0</v>
      </c>
      <c r="AC66" s="61">
        <v>0</v>
      </c>
      <c r="AD66" s="61">
        <v>0</v>
      </c>
      <c r="AE66" s="61">
        <v>0</v>
      </c>
      <c r="AF66" s="61">
        <v>0</v>
      </c>
      <c r="AG66" s="61">
        <v>0</v>
      </c>
      <c r="AH66" s="61">
        <v>0</v>
      </c>
      <c r="AI66" s="61">
        <v>0</v>
      </c>
      <c r="AJ66" s="61"/>
      <c r="AK66" s="61"/>
      <c r="AL66" s="61"/>
      <c r="AM66" s="61"/>
      <c r="AN66" s="61"/>
      <c r="AO66" s="61"/>
      <c r="AP66" s="61" t="s">
        <v>468</v>
      </c>
      <c r="AQ66" s="61">
        <v>6</v>
      </c>
      <c r="AR66" s="61" t="s">
        <v>469</v>
      </c>
      <c r="AS66" s="61">
        <v>1</v>
      </c>
      <c r="AT66" s="61" t="s">
        <v>450</v>
      </c>
      <c r="AU66" s="61" t="s">
        <v>450</v>
      </c>
      <c r="AV66" s="61" t="s">
        <v>450</v>
      </c>
      <c r="AW66" s="61">
        <v>2242</v>
      </c>
      <c r="AX66" s="61">
        <v>0</v>
      </c>
      <c r="AY66" s="61">
        <v>0</v>
      </c>
      <c r="AZ66" s="61">
        <v>0</v>
      </c>
      <c r="BA66" s="61" t="s">
        <v>451</v>
      </c>
      <c r="BB66" s="61" t="s">
        <v>452</v>
      </c>
      <c r="BC66" s="61" t="s">
        <v>453</v>
      </c>
      <c r="BD66" s="61" t="s">
        <v>587</v>
      </c>
      <c r="BE66" s="61" t="s">
        <v>455</v>
      </c>
      <c r="BF66" s="61" t="s">
        <v>456</v>
      </c>
      <c r="BG66" s="61" t="s">
        <v>456</v>
      </c>
      <c r="BH66" s="61" t="s">
        <v>456</v>
      </c>
      <c r="BI66" s="61" t="s">
        <v>456</v>
      </c>
      <c r="BJ66" s="61" t="s">
        <v>456</v>
      </c>
      <c r="BK66" s="61" t="s">
        <v>456</v>
      </c>
      <c r="BL66" s="61" t="s">
        <v>456</v>
      </c>
      <c r="BM66" s="61">
        <v>3516</v>
      </c>
      <c r="BN66" s="61">
        <v>682</v>
      </c>
      <c r="BO66" s="61">
        <v>1327</v>
      </c>
      <c r="BP66" s="61">
        <v>3421</v>
      </c>
      <c r="BQ66" s="61">
        <v>3041</v>
      </c>
      <c r="BR66" s="61">
        <v>0</v>
      </c>
      <c r="BS66" s="61">
        <v>0</v>
      </c>
      <c r="BT66" s="61">
        <v>0</v>
      </c>
      <c r="BU66" s="61">
        <v>0</v>
      </c>
      <c r="BV66" s="61">
        <v>0</v>
      </c>
      <c r="BW66" s="61">
        <v>0</v>
      </c>
      <c r="BX66" s="61">
        <v>0</v>
      </c>
      <c r="BY66" s="61" t="s">
        <v>461</v>
      </c>
      <c r="BZ66" s="61" t="s">
        <v>453</v>
      </c>
      <c r="CA66" s="61" t="s">
        <v>456</v>
      </c>
      <c r="CB66" s="66"/>
      <c r="CC66" s="61">
        <v>2</v>
      </c>
      <c r="CD66" s="61">
        <v>2</v>
      </c>
      <c r="CE66" s="61">
        <v>0</v>
      </c>
      <c r="CF66" s="61"/>
      <c r="CG66" s="61" t="s">
        <v>449</v>
      </c>
    </row>
    <row r="67" s="52" customFormat="1" ht="13.5" spans="1:85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>
        <f>INT(K67*F342)</f>
        <v>0</v>
      </c>
      <c r="M67" s="61"/>
      <c r="N67" s="61">
        <f>INT(M67*F342)</f>
        <v>0</v>
      </c>
      <c r="O67" s="61"/>
      <c r="P67" s="61">
        <f>INT(O67*F342)</f>
        <v>0</v>
      </c>
      <c r="Q67" s="61"/>
      <c r="R67" s="61">
        <f>INT(Q67*F342)</f>
        <v>0</v>
      </c>
      <c r="S67" s="61"/>
      <c r="T67" s="61">
        <f>INT(S67*F342)</f>
        <v>0</v>
      </c>
      <c r="U67" s="61"/>
      <c r="V67" s="61">
        <f>INT(U67*F342)</f>
        <v>0</v>
      </c>
      <c r="W67" s="61"/>
      <c r="X67" s="61">
        <f>INT(W67*F342)</f>
        <v>0</v>
      </c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6"/>
      <c r="CC67" s="61"/>
      <c r="CD67" s="61"/>
      <c r="CE67" s="61"/>
      <c r="CF67" s="61"/>
      <c r="CG67" s="61"/>
    </row>
    <row r="68" s="52" customFormat="1" ht="13.5" spans="1:85">
      <c r="A68" s="61" t="s">
        <v>45</v>
      </c>
      <c r="B68" s="61" t="s">
        <v>564</v>
      </c>
      <c r="C68" s="61">
        <v>13950</v>
      </c>
      <c r="D68" s="61"/>
      <c r="E68" s="61" t="s">
        <v>249</v>
      </c>
      <c r="F68" s="61" t="b">
        <f>IF(COUNTIF(按提示输入属性!D17,E68)&gt;0,TRUE,FALSE)</f>
        <v>0</v>
      </c>
      <c r="G68" s="61"/>
      <c r="H68" s="61"/>
      <c r="I68" s="61"/>
      <c r="J68" s="61"/>
      <c r="K68" s="61">
        <v>487</v>
      </c>
      <c r="L68" s="61">
        <f>INT(K68*F342)</f>
        <v>523</v>
      </c>
      <c r="M68" s="61">
        <v>948</v>
      </c>
      <c r="N68" s="61">
        <f>INT(M68*F342)</f>
        <v>1019</v>
      </c>
      <c r="O68" s="61">
        <v>0</v>
      </c>
      <c r="P68" s="61">
        <f>INT(O68*F342)</f>
        <v>0</v>
      </c>
      <c r="Q68" s="61">
        <v>0</v>
      </c>
      <c r="R68" s="61">
        <f>INT(Q68*F342)</f>
        <v>0</v>
      </c>
      <c r="S68" s="61">
        <v>2444</v>
      </c>
      <c r="T68" s="61">
        <f>INT(S68*F342)</f>
        <v>2627</v>
      </c>
      <c r="U68" s="61">
        <v>2172</v>
      </c>
      <c r="V68" s="61">
        <f>INT(U68*F342)</f>
        <v>2335</v>
      </c>
      <c r="W68" s="61">
        <v>0</v>
      </c>
      <c r="X68" s="61">
        <f>INT(W68*F342)</f>
        <v>0</v>
      </c>
      <c r="Y68" s="61">
        <v>0</v>
      </c>
      <c r="Z68" s="61">
        <v>0</v>
      </c>
      <c r="AA68" s="61">
        <v>0</v>
      </c>
      <c r="AB68" s="61">
        <v>0</v>
      </c>
      <c r="AC68" s="61">
        <v>0</v>
      </c>
      <c r="AD68" s="61">
        <v>0</v>
      </c>
      <c r="AE68" s="61">
        <v>0</v>
      </c>
      <c r="AF68" s="61">
        <v>0</v>
      </c>
      <c r="AG68" s="61">
        <v>0</v>
      </c>
      <c r="AH68" s="61">
        <v>0</v>
      </c>
      <c r="AI68" s="61">
        <v>0</v>
      </c>
      <c r="AJ68" s="61"/>
      <c r="AK68" s="61"/>
      <c r="AL68" s="61"/>
      <c r="AM68" s="61"/>
      <c r="AN68" s="61"/>
      <c r="AO68" s="61"/>
      <c r="AP68" s="61" t="s">
        <v>465</v>
      </c>
      <c r="AQ68" s="61">
        <v>6</v>
      </c>
      <c r="AR68" s="61" t="s">
        <v>449</v>
      </c>
      <c r="AS68" s="61">
        <v>1</v>
      </c>
      <c r="AT68" s="61" t="s">
        <v>450</v>
      </c>
      <c r="AU68" s="61" t="s">
        <v>450</v>
      </c>
      <c r="AV68" s="61" t="s">
        <v>450</v>
      </c>
      <c r="AW68" s="61">
        <v>2512</v>
      </c>
      <c r="AX68" s="61">
        <v>0</v>
      </c>
      <c r="AY68" s="61">
        <v>0</v>
      </c>
      <c r="AZ68" s="61">
        <v>0</v>
      </c>
      <c r="BA68" s="61" t="s">
        <v>453</v>
      </c>
      <c r="BB68" s="61" t="s">
        <v>454</v>
      </c>
      <c r="BC68" s="61" t="s">
        <v>456</v>
      </c>
      <c r="BD68" s="61" t="s">
        <v>456</v>
      </c>
      <c r="BE68" s="61" t="s">
        <v>456</v>
      </c>
      <c r="BF68" s="61" t="s">
        <v>456</v>
      </c>
      <c r="BG68" s="61" t="s">
        <v>456</v>
      </c>
      <c r="BH68" s="61" t="s">
        <v>456</v>
      </c>
      <c r="BI68" s="61" t="s">
        <v>456</v>
      </c>
      <c r="BJ68" s="61" t="s">
        <v>456</v>
      </c>
      <c r="BK68" s="61" t="s">
        <v>456</v>
      </c>
      <c r="BL68" s="61" t="s">
        <v>456</v>
      </c>
      <c r="BM68" s="61">
        <v>2151</v>
      </c>
      <c r="BN68" s="61">
        <v>4181</v>
      </c>
      <c r="BO68" s="61">
        <v>0</v>
      </c>
      <c r="BP68" s="61">
        <v>0</v>
      </c>
      <c r="BQ68" s="61">
        <v>0</v>
      </c>
      <c r="BR68" s="61">
        <v>0</v>
      </c>
      <c r="BS68" s="61">
        <v>0</v>
      </c>
      <c r="BT68" s="61">
        <v>0</v>
      </c>
      <c r="BU68" s="61">
        <v>0</v>
      </c>
      <c r="BV68" s="61">
        <v>0</v>
      </c>
      <c r="BW68" s="61">
        <v>0</v>
      </c>
      <c r="BX68" s="61">
        <v>0</v>
      </c>
      <c r="BY68" s="61" t="s">
        <v>455</v>
      </c>
      <c r="BZ68" s="61" t="s">
        <v>455</v>
      </c>
      <c r="CA68" s="61" t="s">
        <v>456</v>
      </c>
      <c r="CB68" s="61"/>
      <c r="CC68" s="61">
        <v>1</v>
      </c>
      <c r="CD68" s="61">
        <v>1</v>
      </c>
      <c r="CE68" s="61">
        <v>0</v>
      </c>
      <c r="CF68" s="61"/>
      <c r="CG68" s="61" t="s">
        <v>473</v>
      </c>
    </row>
    <row r="69" s="52" customFormat="1" ht="13.5" spans="1:85">
      <c r="A69" s="61" t="s">
        <v>45</v>
      </c>
      <c r="B69" s="61" t="s">
        <v>565</v>
      </c>
      <c r="C69" s="61">
        <v>13950</v>
      </c>
      <c r="D69" s="61"/>
      <c r="E69" s="61" t="s">
        <v>248</v>
      </c>
      <c r="F69" s="61" t="b">
        <f>IF(COUNTIF(按提示输入属性!D17,E69)&gt;0,TRUE,FALSE)</f>
        <v>0</v>
      </c>
      <c r="G69" s="61"/>
      <c r="H69" s="61"/>
      <c r="I69" s="61"/>
      <c r="J69" s="61"/>
      <c r="K69" s="61">
        <v>487</v>
      </c>
      <c r="L69" s="61">
        <f>INT(K69*F342)</f>
        <v>523</v>
      </c>
      <c r="M69" s="61">
        <v>948</v>
      </c>
      <c r="N69" s="61">
        <f>INT(M69*F342)</f>
        <v>1019</v>
      </c>
      <c r="O69" s="61">
        <v>2444</v>
      </c>
      <c r="P69" s="61">
        <f>INT(O69*F342)</f>
        <v>2627</v>
      </c>
      <c r="Q69" s="61">
        <v>0</v>
      </c>
      <c r="R69" s="61">
        <f>INT(Q69*F342)</f>
        <v>0</v>
      </c>
      <c r="S69" s="61">
        <v>0</v>
      </c>
      <c r="T69" s="61">
        <f>INT(S69*F342)</f>
        <v>0</v>
      </c>
      <c r="U69" s="61">
        <v>0</v>
      </c>
      <c r="V69" s="61">
        <f>INT(U69*F342)</f>
        <v>0</v>
      </c>
      <c r="W69" s="61">
        <v>2172</v>
      </c>
      <c r="X69" s="61">
        <f>INT(W69*F342)</f>
        <v>2335</v>
      </c>
      <c r="Y69" s="61">
        <v>0</v>
      </c>
      <c r="Z69" s="61">
        <v>0</v>
      </c>
      <c r="AA69" s="61">
        <v>0</v>
      </c>
      <c r="AB69" s="61">
        <v>0</v>
      </c>
      <c r="AC69" s="61">
        <v>0</v>
      </c>
      <c r="AD69" s="61">
        <v>0</v>
      </c>
      <c r="AE69" s="61">
        <v>0</v>
      </c>
      <c r="AF69" s="61">
        <v>0</v>
      </c>
      <c r="AG69" s="61">
        <v>0</v>
      </c>
      <c r="AH69" s="61">
        <v>0</v>
      </c>
      <c r="AI69" s="61">
        <v>0</v>
      </c>
      <c r="AJ69" s="61"/>
      <c r="AK69" s="61"/>
      <c r="AL69" s="61"/>
      <c r="AM69" s="61"/>
      <c r="AN69" s="61"/>
      <c r="AO69" s="61"/>
      <c r="AP69" s="61" t="s">
        <v>460</v>
      </c>
      <c r="AQ69" s="61">
        <v>6</v>
      </c>
      <c r="AR69" s="61" t="s">
        <v>449</v>
      </c>
      <c r="AS69" s="61">
        <v>1</v>
      </c>
      <c r="AT69" s="61" t="s">
        <v>450</v>
      </c>
      <c r="AU69" s="61" t="s">
        <v>450</v>
      </c>
      <c r="AV69" s="61" t="s">
        <v>450</v>
      </c>
      <c r="AW69" s="61">
        <v>2512</v>
      </c>
      <c r="AX69" s="61">
        <v>0</v>
      </c>
      <c r="AY69" s="61">
        <v>0</v>
      </c>
      <c r="AZ69" s="61">
        <v>0</v>
      </c>
      <c r="BA69" s="61" t="s">
        <v>453</v>
      </c>
      <c r="BB69" s="61" t="s">
        <v>487</v>
      </c>
      <c r="BC69" s="61" t="s">
        <v>462</v>
      </c>
      <c r="BD69" s="61" t="s">
        <v>456</v>
      </c>
      <c r="BE69" s="61" t="s">
        <v>456</v>
      </c>
      <c r="BF69" s="61" t="s">
        <v>456</v>
      </c>
      <c r="BG69" s="61" t="s">
        <v>456</v>
      </c>
      <c r="BH69" s="61" t="s">
        <v>456</v>
      </c>
      <c r="BI69" s="61" t="s">
        <v>456</v>
      </c>
      <c r="BJ69" s="61" t="s">
        <v>456</v>
      </c>
      <c r="BK69" s="61" t="s">
        <v>456</v>
      </c>
      <c r="BL69" s="61" t="s">
        <v>456</v>
      </c>
      <c r="BM69" s="61">
        <v>1835</v>
      </c>
      <c r="BN69" s="61">
        <v>2355</v>
      </c>
      <c r="BO69" s="61">
        <v>2473</v>
      </c>
      <c r="BP69" s="61">
        <v>0</v>
      </c>
      <c r="BQ69" s="61">
        <v>0</v>
      </c>
      <c r="BR69" s="61">
        <v>0</v>
      </c>
      <c r="BS69" s="61">
        <v>0</v>
      </c>
      <c r="BT69" s="61">
        <v>0</v>
      </c>
      <c r="BU69" s="61">
        <v>0</v>
      </c>
      <c r="BV69" s="61">
        <v>0</v>
      </c>
      <c r="BW69" s="61">
        <v>0</v>
      </c>
      <c r="BX69" s="61">
        <v>0</v>
      </c>
      <c r="BY69" s="61" t="s">
        <v>490</v>
      </c>
      <c r="BZ69" s="61" t="s">
        <v>490</v>
      </c>
      <c r="CA69" s="61" t="s">
        <v>456</v>
      </c>
      <c r="CB69" s="61"/>
      <c r="CC69" s="61">
        <v>1</v>
      </c>
      <c r="CD69" s="61">
        <v>1</v>
      </c>
      <c r="CE69" s="61">
        <v>0</v>
      </c>
      <c r="CF69" s="61"/>
      <c r="CG69" s="61" t="s">
        <v>473</v>
      </c>
    </row>
    <row r="70" s="53" customFormat="1" ht="13.5" spans="1:85">
      <c r="A70" s="62" t="s">
        <v>45</v>
      </c>
      <c r="B70" s="62" t="s">
        <v>566</v>
      </c>
      <c r="C70" s="62">
        <v>13950</v>
      </c>
      <c r="D70" s="62"/>
      <c r="E70" s="62" t="s">
        <v>567</v>
      </c>
      <c r="F70" s="62" t="b">
        <f>IF(COUNTIF(按提示输入属性!D17,E70)&gt;0,TRUE,FALSE)</f>
        <v>0</v>
      </c>
      <c r="G70" s="62"/>
      <c r="H70" s="62"/>
      <c r="I70" s="62"/>
      <c r="J70" s="62"/>
      <c r="K70" s="62">
        <v>0</v>
      </c>
      <c r="L70" s="62">
        <f>INT(K70*F342)</f>
        <v>0</v>
      </c>
      <c r="M70" s="62">
        <v>2480</v>
      </c>
      <c r="N70" s="62">
        <f>INT(M70*F344)</f>
        <v>2539</v>
      </c>
      <c r="O70" s="62">
        <v>0</v>
      </c>
      <c r="P70" s="61">
        <f>INT(O70*F344)</f>
        <v>0</v>
      </c>
      <c r="Q70" s="62">
        <v>0</v>
      </c>
      <c r="R70" s="61">
        <f>INT(Q70*F344)</f>
        <v>0</v>
      </c>
      <c r="S70" s="62">
        <v>0</v>
      </c>
      <c r="T70" s="61">
        <f>INT(S70*F344)</f>
        <v>0</v>
      </c>
      <c r="U70" s="62">
        <v>0</v>
      </c>
      <c r="V70" s="61">
        <f>INT(U70*F344)</f>
        <v>0</v>
      </c>
      <c r="W70" s="62">
        <v>4820</v>
      </c>
      <c r="X70" s="61">
        <f>INT(W70*F344)</f>
        <v>4936</v>
      </c>
      <c r="Y70" s="62">
        <v>0</v>
      </c>
      <c r="Z70" s="62">
        <v>0</v>
      </c>
      <c r="AA70" s="62">
        <v>0</v>
      </c>
      <c r="AB70" s="62">
        <v>0</v>
      </c>
      <c r="AC70" s="62">
        <v>0</v>
      </c>
      <c r="AD70" s="62">
        <v>0</v>
      </c>
      <c r="AE70" s="62">
        <v>0</v>
      </c>
      <c r="AF70" s="62">
        <v>0</v>
      </c>
      <c r="AG70" s="62">
        <v>0</v>
      </c>
      <c r="AH70" s="62">
        <v>0</v>
      </c>
      <c r="AI70" s="62">
        <v>0</v>
      </c>
      <c r="AJ70" s="62"/>
      <c r="AK70" s="62"/>
      <c r="AL70" s="62"/>
      <c r="AM70" s="62"/>
      <c r="AN70" s="62"/>
      <c r="AO70" s="62"/>
      <c r="AP70" s="62" t="s">
        <v>568</v>
      </c>
      <c r="AQ70" s="62">
        <v>3</v>
      </c>
      <c r="AR70" s="62" t="s">
        <v>449</v>
      </c>
      <c r="AS70" s="62">
        <v>1</v>
      </c>
      <c r="AT70" s="62" t="s">
        <v>450</v>
      </c>
      <c r="AU70" s="62" t="s">
        <v>450</v>
      </c>
      <c r="AV70" s="62" t="s">
        <v>450</v>
      </c>
      <c r="AW70" s="62">
        <v>0</v>
      </c>
      <c r="AX70" s="62">
        <v>0</v>
      </c>
      <c r="AY70" s="62">
        <v>0</v>
      </c>
      <c r="AZ70" s="62">
        <v>0</v>
      </c>
      <c r="BA70" s="62" t="s">
        <v>453</v>
      </c>
      <c r="BB70" s="62" t="s">
        <v>454</v>
      </c>
      <c r="BC70" s="62" t="s">
        <v>487</v>
      </c>
      <c r="BD70" s="62" t="s">
        <v>462</v>
      </c>
      <c r="BE70" s="62" t="s">
        <v>456</v>
      </c>
      <c r="BF70" s="62" t="s">
        <v>456</v>
      </c>
      <c r="BG70" s="62" t="s">
        <v>456</v>
      </c>
      <c r="BH70" s="62" t="s">
        <v>456</v>
      </c>
      <c r="BI70" s="62" t="s">
        <v>456</v>
      </c>
      <c r="BJ70" s="62" t="s">
        <v>456</v>
      </c>
      <c r="BK70" s="62" t="s">
        <v>456</v>
      </c>
      <c r="BL70" s="62" t="s">
        <v>456</v>
      </c>
      <c r="BM70" s="62">
        <v>1835</v>
      </c>
      <c r="BN70" s="62">
        <v>1649</v>
      </c>
      <c r="BO70" s="62">
        <v>1884</v>
      </c>
      <c r="BP70" s="62">
        <v>1295</v>
      </c>
      <c r="BQ70" s="62">
        <v>0</v>
      </c>
      <c r="BR70" s="62">
        <v>0</v>
      </c>
      <c r="BS70" s="62">
        <v>0</v>
      </c>
      <c r="BT70" s="62">
        <v>0</v>
      </c>
      <c r="BU70" s="62">
        <v>0</v>
      </c>
      <c r="BV70" s="62">
        <v>0</v>
      </c>
      <c r="BW70" s="62">
        <v>0</v>
      </c>
      <c r="BX70" s="62">
        <v>0</v>
      </c>
      <c r="BY70" s="62" t="s">
        <v>490</v>
      </c>
      <c r="BZ70" s="62" t="s">
        <v>490</v>
      </c>
      <c r="CA70" s="62" t="s">
        <v>456</v>
      </c>
      <c r="CB70" s="62"/>
      <c r="CC70" s="62">
        <v>1</v>
      </c>
      <c r="CD70" s="62">
        <v>1</v>
      </c>
      <c r="CE70" s="62">
        <v>0</v>
      </c>
      <c r="CF70" s="62"/>
      <c r="CG70" s="62" t="s">
        <v>473</v>
      </c>
    </row>
    <row r="71" s="53" customFormat="1" ht="13.5" spans="1:85">
      <c r="A71" s="62" t="s">
        <v>45</v>
      </c>
      <c r="B71" s="62" t="s">
        <v>569</v>
      </c>
      <c r="C71" s="62">
        <v>13950</v>
      </c>
      <c r="D71" s="62"/>
      <c r="E71" s="62" t="s">
        <v>570</v>
      </c>
      <c r="F71" s="62" t="b">
        <f>IF(COUNTIF(按提示输入属性!D17,E71)&gt;0,TRUE,FALSE)</f>
        <v>0</v>
      </c>
      <c r="G71" s="62"/>
      <c r="H71" s="62"/>
      <c r="I71" s="62"/>
      <c r="J71" s="62"/>
      <c r="K71" s="62">
        <v>0</v>
      </c>
      <c r="L71" s="62">
        <f>INT(K71*F342)</f>
        <v>0</v>
      </c>
      <c r="M71" s="62">
        <v>2115</v>
      </c>
      <c r="N71" s="62">
        <f>INT(M71*F344)</f>
        <v>2166</v>
      </c>
      <c r="O71" s="62">
        <v>2783</v>
      </c>
      <c r="P71" s="62">
        <f>INT(O71*F344)</f>
        <v>2850</v>
      </c>
      <c r="Q71" s="62">
        <v>0</v>
      </c>
      <c r="R71" s="62">
        <f>INT(Q71*F344)</f>
        <v>0</v>
      </c>
      <c r="S71" s="62">
        <v>2783</v>
      </c>
      <c r="T71" s="62">
        <f>INT(S71*F344)</f>
        <v>2850</v>
      </c>
      <c r="U71" s="62">
        <v>0</v>
      </c>
      <c r="V71" s="62">
        <f>INT(U71*F344)</f>
        <v>0</v>
      </c>
      <c r="W71" s="62">
        <v>0</v>
      </c>
      <c r="X71" s="62">
        <f>INT(W71*F344)</f>
        <v>0</v>
      </c>
      <c r="Y71" s="62">
        <v>0</v>
      </c>
      <c r="Z71" s="62">
        <v>0</v>
      </c>
      <c r="AA71" s="62">
        <v>0</v>
      </c>
      <c r="AB71" s="62">
        <v>0</v>
      </c>
      <c r="AC71" s="62">
        <v>0</v>
      </c>
      <c r="AD71" s="62">
        <v>0</v>
      </c>
      <c r="AE71" s="62">
        <v>0</v>
      </c>
      <c r="AF71" s="62">
        <v>0</v>
      </c>
      <c r="AG71" s="62">
        <v>0</v>
      </c>
      <c r="AH71" s="62">
        <v>0</v>
      </c>
      <c r="AI71" s="62">
        <v>0</v>
      </c>
      <c r="AJ71" s="62"/>
      <c r="AK71" s="62"/>
      <c r="AL71" s="62"/>
      <c r="AM71" s="62"/>
      <c r="AN71" s="62"/>
      <c r="AO71" s="62"/>
      <c r="AP71" s="62" t="s">
        <v>536</v>
      </c>
      <c r="AQ71" s="62">
        <v>3</v>
      </c>
      <c r="AR71" s="62" t="s">
        <v>449</v>
      </c>
      <c r="AS71" s="62">
        <v>1</v>
      </c>
      <c r="AT71" s="62" t="s">
        <v>450</v>
      </c>
      <c r="AU71" s="62" t="s">
        <v>450</v>
      </c>
      <c r="AV71" s="62" t="s">
        <v>450</v>
      </c>
      <c r="AW71" s="62">
        <v>0</v>
      </c>
      <c r="AX71" s="62">
        <v>0</v>
      </c>
      <c r="AY71" s="62">
        <v>0</v>
      </c>
      <c r="AZ71" s="62">
        <v>0</v>
      </c>
      <c r="BA71" s="62" t="s">
        <v>451</v>
      </c>
      <c r="BB71" s="62" t="s">
        <v>452</v>
      </c>
      <c r="BC71" s="62" t="s">
        <v>453</v>
      </c>
      <c r="BD71" s="62" t="s">
        <v>454</v>
      </c>
      <c r="BE71" s="62" t="s">
        <v>455</v>
      </c>
      <c r="BF71" s="62" t="s">
        <v>456</v>
      </c>
      <c r="BG71" s="62" t="s">
        <v>456</v>
      </c>
      <c r="BH71" s="62" t="s">
        <v>456</v>
      </c>
      <c r="BI71" s="62" t="s">
        <v>456</v>
      </c>
      <c r="BJ71" s="62" t="s">
        <v>456</v>
      </c>
      <c r="BK71" s="62" t="s">
        <v>456</v>
      </c>
      <c r="BL71" s="62" t="s">
        <v>456</v>
      </c>
      <c r="BM71" s="62">
        <v>3567</v>
      </c>
      <c r="BN71" s="62">
        <v>692</v>
      </c>
      <c r="BO71" s="62">
        <v>1346</v>
      </c>
      <c r="BP71" s="62">
        <v>3470</v>
      </c>
      <c r="BQ71" s="62">
        <v>3085</v>
      </c>
      <c r="BR71" s="62">
        <v>0</v>
      </c>
      <c r="BS71" s="62">
        <v>0</v>
      </c>
      <c r="BT71" s="62">
        <v>0</v>
      </c>
      <c r="BU71" s="62">
        <v>0</v>
      </c>
      <c r="BV71" s="62">
        <v>0</v>
      </c>
      <c r="BW71" s="62">
        <v>0</v>
      </c>
      <c r="BX71" s="62">
        <v>0</v>
      </c>
      <c r="BY71" s="62" t="s">
        <v>453</v>
      </c>
      <c r="BZ71" s="62" t="s">
        <v>454</v>
      </c>
      <c r="CA71" s="62" t="s">
        <v>456</v>
      </c>
      <c r="CB71" s="64"/>
      <c r="CC71" s="62">
        <v>2</v>
      </c>
      <c r="CD71" s="62">
        <v>2</v>
      </c>
      <c r="CE71" s="62">
        <v>0</v>
      </c>
      <c r="CF71" s="62"/>
      <c r="CG71" s="62" t="s">
        <v>503</v>
      </c>
    </row>
    <row r="72" s="53" customFormat="1" ht="13.5" spans="1:85">
      <c r="A72" s="62" t="s">
        <v>45</v>
      </c>
      <c r="B72" s="62" t="s">
        <v>571</v>
      </c>
      <c r="C72" s="62">
        <v>13950</v>
      </c>
      <c r="D72" s="62"/>
      <c r="E72" s="62" t="s">
        <v>46</v>
      </c>
      <c r="F72" s="62" t="b">
        <f>IF(COUNTIF(按提示输入属性!D17,E72)&gt;0,TRUE,FALSE)</f>
        <v>1</v>
      </c>
      <c r="G72" s="62"/>
      <c r="H72" s="62"/>
      <c r="I72" s="62"/>
      <c r="J72" s="62"/>
      <c r="K72" s="62">
        <v>0</v>
      </c>
      <c r="L72" s="62">
        <f>INT(K72*F342)</f>
        <v>0</v>
      </c>
      <c r="M72" s="62">
        <v>2115</v>
      </c>
      <c r="N72" s="62">
        <f>INT(M72*F344)</f>
        <v>2166</v>
      </c>
      <c r="O72" s="62">
        <v>2580</v>
      </c>
      <c r="P72" s="62">
        <f>INT(O72*F344)</f>
        <v>2642</v>
      </c>
      <c r="Q72" s="62">
        <v>1358</v>
      </c>
      <c r="R72" s="62">
        <f>INT(Q72*F344)</f>
        <v>1390</v>
      </c>
      <c r="S72" s="62">
        <v>0</v>
      </c>
      <c r="T72" s="62">
        <f>INT(S72*F344)</f>
        <v>0</v>
      </c>
      <c r="U72" s="62">
        <v>1493</v>
      </c>
      <c r="V72" s="62">
        <f>INT(U72*F344)</f>
        <v>1529</v>
      </c>
      <c r="W72" s="62">
        <v>0</v>
      </c>
      <c r="X72" s="62">
        <f>INT(W72*F344)</f>
        <v>0</v>
      </c>
      <c r="Y72" s="62">
        <v>0</v>
      </c>
      <c r="Z72" s="62">
        <v>0</v>
      </c>
      <c r="AA72" s="62">
        <v>0</v>
      </c>
      <c r="AB72" s="62">
        <v>0</v>
      </c>
      <c r="AC72" s="62">
        <v>0</v>
      </c>
      <c r="AD72" s="62">
        <v>0</v>
      </c>
      <c r="AE72" s="62">
        <v>0</v>
      </c>
      <c r="AF72" s="62">
        <v>0</v>
      </c>
      <c r="AG72" s="62">
        <v>0</v>
      </c>
      <c r="AH72" s="62">
        <v>0</v>
      </c>
      <c r="AI72" s="62">
        <v>0</v>
      </c>
      <c r="AJ72" s="62"/>
      <c r="AK72" s="62"/>
      <c r="AL72" s="62"/>
      <c r="AM72" s="62"/>
      <c r="AN72" s="62"/>
      <c r="AO72" s="62"/>
      <c r="AP72" s="62" t="s">
        <v>483</v>
      </c>
      <c r="AQ72" s="62">
        <v>3</v>
      </c>
      <c r="AR72" s="62" t="s">
        <v>449</v>
      </c>
      <c r="AS72" s="62">
        <v>1</v>
      </c>
      <c r="AT72" s="62" t="s">
        <v>450</v>
      </c>
      <c r="AU72" s="62" t="s">
        <v>450</v>
      </c>
      <c r="AV72" s="62" t="s">
        <v>450</v>
      </c>
      <c r="AW72" s="62">
        <v>0</v>
      </c>
      <c r="AX72" s="62">
        <v>0</v>
      </c>
      <c r="AY72" s="62">
        <v>0</v>
      </c>
      <c r="AZ72" s="62">
        <v>0</v>
      </c>
      <c r="BA72" s="62" t="s">
        <v>451</v>
      </c>
      <c r="BB72" s="62" t="s">
        <v>452</v>
      </c>
      <c r="BC72" s="62" t="s">
        <v>453</v>
      </c>
      <c r="BD72" s="62" t="s">
        <v>461</v>
      </c>
      <c r="BE72" s="62" t="s">
        <v>455</v>
      </c>
      <c r="BF72" s="62" t="s">
        <v>456</v>
      </c>
      <c r="BG72" s="62" t="s">
        <v>456</v>
      </c>
      <c r="BH72" s="62" t="s">
        <v>456</v>
      </c>
      <c r="BI72" s="62" t="s">
        <v>456</v>
      </c>
      <c r="BJ72" s="62" t="s">
        <v>456</v>
      </c>
      <c r="BK72" s="62" t="s">
        <v>456</v>
      </c>
      <c r="BL72" s="62" t="s">
        <v>456</v>
      </c>
      <c r="BM72" s="62">
        <v>3567</v>
      </c>
      <c r="BN72" s="62">
        <v>692</v>
      </c>
      <c r="BO72" s="62">
        <v>1346</v>
      </c>
      <c r="BP72" s="62">
        <v>3470</v>
      </c>
      <c r="BQ72" s="62">
        <v>3085</v>
      </c>
      <c r="BR72" s="62">
        <v>0</v>
      </c>
      <c r="BS72" s="62">
        <v>0</v>
      </c>
      <c r="BT72" s="62">
        <v>0</v>
      </c>
      <c r="BU72" s="62">
        <v>0</v>
      </c>
      <c r="BV72" s="62">
        <v>0</v>
      </c>
      <c r="BW72" s="62">
        <v>0</v>
      </c>
      <c r="BX72" s="62">
        <v>0</v>
      </c>
      <c r="BY72" s="62" t="s">
        <v>572</v>
      </c>
      <c r="BZ72" s="62" t="s">
        <v>461</v>
      </c>
      <c r="CA72" s="62" t="s">
        <v>456</v>
      </c>
      <c r="CB72" s="64"/>
      <c r="CC72" s="62">
        <v>2</v>
      </c>
      <c r="CD72" s="62">
        <v>2</v>
      </c>
      <c r="CE72" s="62">
        <v>0</v>
      </c>
      <c r="CF72" s="62"/>
      <c r="CG72" s="62" t="s">
        <v>503</v>
      </c>
    </row>
    <row r="73" s="53" customFormat="1" ht="13.5" spans="1:85">
      <c r="A73" s="62" t="s">
        <v>45</v>
      </c>
      <c r="B73" s="62" t="s">
        <v>573</v>
      </c>
      <c r="C73" s="62">
        <v>13950</v>
      </c>
      <c r="D73" s="62"/>
      <c r="E73" s="62" t="s">
        <v>574</v>
      </c>
      <c r="F73" s="62" t="b">
        <f>IF(COUNTIF(按提示输入属性!D17,E73)&gt;0,TRUE,FALSE)</f>
        <v>0</v>
      </c>
      <c r="G73" s="62"/>
      <c r="H73" s="62"/>
      <c r="I73" s="62"/>
      <c r="J73" s="62"/>
      <c r="K73" s="62">
        <v>0</v>
      </c>
      <c r="L73" s="62">
        <f>INT(K73*F342)</f>
        <v>0</v>
      </c>
      <c r="M73" s="62">
        <v>2115</v>
      </c>
      <c r="N73" s="62">
        <f>INT(M73*F344)</f>
        <v>2166</v>
      </c>
      <c r="O73" s="62">
        <v>0</v>
      </c>
      <c r="P73" s="61">
        <f>INT(O73*F344)</f>
        <v>0</v>
      </c>
      <c r="Q73" s="62">
        <v>0</v>
      </c>
      <c r="R73" s="61">
        <f>INT(Q73*F344)</f>
        <v>0</v>
      </c>
      <c r="S73" s="62">
        <v>2715</v>
      </c>
      <c r="T73" s="61">
        <f>INT(S73*F344)</f>
        <v>2780</v>
      </c>
      <c r="U73" s="62">
        <v>0</v>
      </c>
      <c r="V73" s="61">
        <f>INT(U73*F344)</f>
        <v>0</v>
      </c>
      <c r="W73" s="62">
        <v>2851</v>
      </c>
      <c r="X73" s="61">
        <f>INT(W73*F344)</f>
        <v>2919</v>
      </c>
      <c r="Y73" s="62">
        <v>0</v>
      </c>
      <c r="Z73" s="62">
        <v>0</v>
      </c>
      <c r="AA73" s="62">
        <v>0</v>
      </c>
      <c r="AB73" s="62">
        <v>0</v>
      </c>
      <c r="AC73" s="62">
        <v>0</v>
      </c>
      <c r="AD73" s="62">
        <v>0</v>
      </c>
      <c r="AE73" s="62">
        <v>0</v>
      </c>
      <c r="AF73" s="62">
        <v>0</v>
      </c>
      <c r="AG73" s="62">
        <v>0</v>
      </c>
      <c r="AH73" s="62">
        <v>0</v>
      </c>
      <c r="AI73" s="62">
        <v>0</v>
      </c>
      <c r="AJ73" s="62"/>
      <c r="AK73" s="62"/>
      <c r="AL73" s="62"/>
      <c r="AM73" s="62"/>
      <c r="AN73" s="62"/>
      <c r="AO73" s="62"/>
      <c r="AP73" s="62" t="s">
        <v>512</v>
      </c>
      <c r="AQ73" s="62">
        <v>3</v>
      </c>
      <c r="AR73" s="62" t="s">
        <v>449</v>
      </c>
      <c r="AS73" s="62">
        <v>1</v>
      </c>
      <c r="AT73" s="62" t="s">
        <v>450</v>
      </c>
      <c r="AU73" s="62" t="s">
        <v>450</v>
      </c>
      <c r="AV73" s="62" t="s">
        <v>450</v>
      </c>
      <c r="AW73" s="62">
        <v>0</v>
      </c>
      <c r="AX73" s="62">
        <v>0</v>
      </c>
      <c r="AY73" s="62">
        <v>0</v>
      </c>
      <c r="AZ73" s="62">
        <v>0</v>
      </c>
      <c r="BA73" s="62" t="s">
        <v>451</v>
      </c>
      <c r="BB73" s="62" t="s">
        <v>452</v>
      </c>
      <c r="BC73" s="62" t="s">
        <v>453</v>
      </c>
      <c r="BD73" s="62" t="s">
        <v>454</v>
      </c>
      <c r="BE73" s="62" t="s">
        <v>455</v>
      </c>
      <c r="BF73" s="62" t="s">
        <v>456</v>
      </c>
      <c r="BG73" s="62" t="s">
        <v>456</v>
      </c>
      <c r="BH73" s="62" t="s">
        <v>456</v>
      </c>
      <c r="BI73" s="62" t="s">
        <v>456</v>
      </c>
      <c r="BJ73" s="62" t="s">
        <v>456</v>
      </c>
      <c r="BK73" s="62" t="s">
        <v>456</v>
      </c>
      <c r="BL73" s="62" t="s">
        <v>456</v>
      </c>
      <c r="BM73" s="62">
        <v>3567</v>
      </c>
      <c r="BN73" s="62">
        <v>692</v>
      </c>
      <c r="BO73" s="62">
        <v>1346</v>
      </c>
      <c r="BP73" s="62">
        <v>3470</v>
      </c>
      <c r="BQ73" s="62">
        <v>3085</v>
      </c>
      <c r="BR73" s="62">
        <v>0</v>
      </c>
      <c r="BS73" s="62">
        <v>0</v>
      </c>
      <c r="BT73" s="62">
        <v>0</v>
      </c>
      <c r="BU73" s="62">
        <v>0</v>
      </c>
      <c r="BV73" s="62">
        <v>0</v>
      </c>
      <c r="BW73" s="62">
        <v>0</v>
      </c>
      <c r="BX73" s="62">
        <v>0</v>
      </c>
      <c r="BY73" s="62" t="s">
        <v>455</v>
      </c>
      <c r="BZ73" s="62" t="s">
        <v>461</v>
      </c>
      <c r="CA73" s="62" t="s">
        <v>456</v>
      </c>
      <c r="CB73" s="64"/>
      <c r="CC73" s="62">
        <v>2</v>
      </c>
      <c r="CD73" s="62">
        <v>2</v>
      </c>
      <c r="CE73" s="62">
        <v>0</v>
      </c>
      <c r="CF73" s="62"/>
      <c r="CG73" s="62" t="s">
        <v>503</v>
      </c>
    </row>
    <row r="74" s="54" customFormat="1" ht="13.5" spans="1:85">
      <c r="A74" s="63" t="s">
        <v>45</v>
      </c>
      <c r="B74" s="63" t="s">
        <v>575</v>
      </c>
      <c r="C74" s="63">
        <v>13950</v>
      </c>
      <c r="D74" s="63"/>
      <c r="E74" s="63" t="s">
        <v>576</v>
      </c>
      <c r="F74" s="63" t="b">
        <f>IF(COUNTIF(按提示输入属性!D17,E74)&gt;0,TRUE,FALSE)</f>
        <v>0</v>
      </c>
      <c r="G74" s="63"/>
      <c r="H74" s="63"/>
      <c r="I74" s="63"/>
      <c r="J74" s="63"/>
      <c r="K74" s="63">
        <v>0</v>
      </c>
      <c r="L74" s="63">
        <f>INT(K74*F342)</f>
        <v>0</v>
      </c>
      <c r="M74" s="63">
        <v>1750</v>
      </c>
      <c r="N74" s="63">
        <f>INT(M74*F343)</f>
        <v>1816</v>
      </c>
      <c r="O74" s="63">
        <v>1765</v>
      </c>
      <c r="P74" s="63">
        <f>INT(O74*F343)</f>
        <v>1832</v>
      </c>
      <c r="Q74" s="63">
        <v>0</v>
      </c>
      <c r="R74" s="63">
        <f>INT(Q74*F342)</f>
        <v>0</v>
      </c>
      <c r="S74" s="63">
        <v>0</v>
      </c>
      <c r="T74" s="63">
        <f>INT(S74*F343)</f>
        <v>0</v>
      </c>
      <c r="U74" s="63">
        <v>0</v>
      </c>
      <c r="V74" s="63">
        <f>INT(U74*F343)</f>
        <v>0</v>
      </c>
      <c r="W74" s="63">
        <v>4344</v>
      </c>
      <c r="X74" s="63">
        <f>INT(W74*F343)</f>
        <v>4509</v>
      </c>
      <c r="Y74" s="63">
        <v>0</v>
      </c>
      <c r="Z74" s="63">
        <v>0</v>
      </c>
      <c r="AA74" s="63">
        <v>0</v>
      </c>
      <c r="AB74" s="63">
        <v>0</v>
      </c>
      <c r="AC74" s="63">
        <v>0</v>
      </c>
      <c r="AD74" s="63">
        <v>0</v>
      </c>
      <c r="AE74" s="63">
        <v>0</v>
      </c>
      <c r="AF74" s="63">
        <v>0</v>
      </c>
      <c r="AG74" s="63">
        <v>0</v>
      </c>
      <c r="AH74" s="63">
        <v>0</v>
      </c>
      <c r="AI74" s="63">
        <v>0</v>
      </c>
      <c r="AJ74" s="63"/>
      <c r="AK74" s="63"/>
      <c r="AL74" s="63"/>
      <c r="AM74" s="63"/>
      <c r="AN74" s="63"/>
      <c r="AO74" s="63"/>
      <c r="AP74" s="63" t="s">
        <v>551</v>
      </c>
      <c r="AQ74" s="63">
        <v>4</v>
      </c>
      <c r="AR74" s="63" t="s">
        <v>449</v>
      </c>
      <c r="AS74" s="63">
        <v>1</v>
      </c>
      <c r="AT74" s="63" t="s">
        <v>450</v>
      </c>
      <c r="AU74" s="63" t="s">
        <v>450</v>
      </c>
      <c r="AV74" s="63" t="s">
        <v>450</v>
      </c>
      <c r="AW74" s="63">
        <v>2512</v>
      </c>
      <c r="AX74" s="63">
        <v>0</v>
      </c>
      <c r="AY74" s="63">
        <v>0</v>
      </c>
      <c r="AZ74" s="63">
        <v>0</v>
      </c>
      <c r="BA74" s="63" t="s">
        <v>451</v>
      </c>
      <c r="BB74" s="63" t="s">
        <v>452</v>
      </c>
      <c r="BC74" s="63" t="s">
        <v>453</v>
      </c>
      <c r="BD74" s="63" t="s">
        <v>461</v>
      </c>
      <c r="BE74" s="63" t="s">
        <v>462</v>
      </c>
      <c r="BF74" s="63" t="s">
        <v>456</v>
      </c>
      <c r="BG74" s="63" t="s">
        <v>456</v>
      </c>
      <c r="BH74" s="63" t="s">
        <v>456</v>
      </c>
      <c r="BI74" s="63" t="s">
        <v>456</v>
      </c>
      <c r="BJ74" s="63" t="s">
        <v>456</v>
      </c>
      <c r="BK74" s="63" t="s">
        <v>456</v>
      </c>
      <c r="BL74" s="63" t="s">
        <v>456</v>
      </c>
      <c r="BM74" s="63">
        <v>5095</v>
      </c>
      <c r="BN74" s="63">
        <v>988</v>
      </c>
      <c r="BO74" s="63">
        <v>1923</v>
      </c>
      <c r="BP74" s="63">
        <v>4958</v>
      </c>
      <c r="BQ74" s="63">
        <v>4407</v>
      </c>
      <c r="BR74" s="63">
        <v>0</v>
      </c>
      <c r="BS74" s="63">
        <v>0</v>
      </c>
      <c r="BT74" s="63">
        <v>0</v>
      </c>
      <c r="BU74" s="63">
        <v>0</v>
      </c>
      <c r="BV74" s="63">
        <v>0</v>
      </c>
      <c r="BW74" s="63">
        <v>0</v>
      </c>
      <c r="BX74" s="63">
        <v>0</v>
      </c>
      <c r="BY74" s="63" t="s">
        <v>455</v>
      </c>
      <c r="BZ74" s="63" t="s">
        <v>461</v>
      </c>
      <c r="CA74" s="63" t="s">
        <v>456</v>
      </c>
      <c r="CB74" s="65"/>
      <c r="CC74" s="63">
        <v>2</v>
      </c>
      <c r="CD74" s="63">
        <v>2</v>
      </c>
      <c r="CE74" s="63">
        <v>0</v>
      </c>
      <c r="CF74" s="63"/>
      <c r="CG74" s="63" t="s">
        <v>503</v>
      </c>
    </row>
    <row r="75" s="54" customFormat="1" ht="13.5" spans="1:85">
      <c r="A75" s="63" t="s">
        <v>45</v>
      </c>
      <c r="B75" s="63" t="s">
        <v>577</v>
      </c>
      <c r="C75" s="63">
        <v>13950</v>
      </c>
      <c r="D75" s="63"/>
      <c r="E75" s="63" t="s">
        <v>578</v>
      </c>
      <c r="F75" s="63" t="b">
        <f>IF(COUNTIF(按提示输入属性!D17,E75)&gt;0,TRUE,FALSE)</f>
        <v>0</v>
      </c>
      <c r="G75" s="63"/>
      <c r="H75" s="63"/>
      <c r="I75" s="63"/>
      <c r="J75" s="63"/>
      <c r="K75" s="63">
        <v>0</v>
      </c>
      <c r="L75" s="63">
        <f>INT(K75*F342)</f>
        <v>0</v>
      </c>
      <c r="M75" s="63">
        <v>2042</v>
      </c>
      <c r="N75" s="63">
        <f>INT(M75*F343)</f>
        <v>2119</v>
      </c>
      <c r="O75" s="63">
        <v>0</v>
      </c>
      <c r="P75" s="61">
        <f>INT(O75*F343)</f>
        <v>0</v>
      </c>
      <c r="Q75" s="63">
        <v>0</v>
      </c>
      <c r="R75" s="61">
        <f>INT(Q75*F342)</f>
        <v>0</v>
      </c>
      <c r="S75" s="63">
        <v>2580</v>
      </c>
      <c r="T75" s="61">
        <f>INT(S75*F343)</f>
        <v>2678</v>
      </c>
      <c r="U75" s="63">
        <v>2851</v>
      </c>
      <c r="V75" s="61">
        <f>INT(U75*F343)</f>
        <v>2959</v>
      </c>
      <c r="W75" s="63">
        <v>0</v>
      </c>
      <c r="X75" s="61">
        <f>INT(W75*F343)</f>
        <v>0</v>
      </c>
      <c r="Y75" s="63">
        <v>0</v>
      </c>
      <c r="Z75" s="63">
        <v>0</v>
      </c>
      <c r="AA75" s="63">
        <v>0</v>
      </c>
      <c r="AB75" s="63">
        <v>0</v>
      </c>
      <c r="AC75" s="63">
        <v>0</v>
      </c>
      <c r="AD75" s="63">
        <v>0</v>
      </c>
      <c r="AE75" s="63">
        <v>0</v>
      </c>
      <c r="AF75" s="63">
        <v>0</v>
      </c>
      <c r="AG75" s="63">
        <v>0</v>
      </c>
      <c r="AH75" s="63">
        <v>0</v>
      </c>
      <c r="AI75" s="63">
        <v>0</v>
      </c>
      <c r="AJ75" s="63"/>
      <c r="AK75" s="63"/>
      <c r="AL75" s="63"/>
      <c r="AM75" s="63"/>
      <c r="AN75" s="63"/>
      <c r="AO75" s="63"/>
      <c r="AP75" s="63" t="s">
        <v>521</v>
      </c>
      <c r="AQ75" s="63">
        <v>4</v>
      </c>
      <c r="AR75" s="63" t="s">
        <v>449</v>
      </c>
      <c r="AS75" s="63">
        <v>1</v>
      </c>
      <c r="AT75" s="63" t="s">
        <v>450</v>
      </c>
      <c r="AU75" s="63" t="s">
        <v>450</v>
      </c>
      <c r="AV75" s="63" t="s">
        <v>450</v>
      </c>
      <c r="AW75" s="63">
        <v>2512</v>
      </c>
      <c r="AX75" s="63">
        <v>0</v>
      </c>
      <c r="AY75" s="63">
        <v>0</v>
      </c>
      <c r="AZ75" s="63">
        <v>0</v>
      </c>
      <c r="BA75" s="63" t="s">
        <v>451</v>
      </c>
      <c r="BB75" s="63" t="s">
        <v>452</v>
      </c>
      <c r="BC75" s="63" t="s">
        <v>453</v>
      </c>
      <c r="BD75" s="63" t="s">
        <v>461</v>
      </c>
      <c r="BE75" s="63" t="s">
        <v>455</v>
      </c>
      <c r="BF75" s="63" t="s">
        <v>456</v>
      </c>
      <c r="BG75" s="63" t="s">
        <v>456</v>
      </c>
      <c r="BH75" s="63" t="s">
        <v>456</v>
      </c>
      <c r="BI75" s="63" t="s">
        <v>456</v>
      </c>
      <c r="BJ75" s="63" t="s">
        <v>456</v>
      </c>
      <c r="BK75" s="63" t="s">
        <v>456</v>
      </c>
      <c r="BL75" s="63" t="s">
        <v>456</v>
      </c>
      <c r="BM75" s="63">
        <v>4586</v>
      </c>
      <c r="BN75" s="63">
        <v>889</v>
      </c>
      <c r="BO75" s="63">
        <v>1731</v>
      </c>
      <c r="BP75" s="63">
        <v>4462</v>
      </c>
      <c r="BQ75" s="63">
        <v>3966</v>
      </c>
      <c r="BR75" s="63">
        <v>0</v>
      </c>
      <c r="BS75" s="63">
        <v>0</v>
      </c>
      <c r="BT75" s="63">
        <v>0</v>
      </c>
      <c r="BU75" s="63">
        <v>0</v>
      </c>
      <c r="BV75" s="63">
        <v>0</v>
      </c>
      <c r="BW75" s="63">
        <v>0</v>
      </c>
      <c r="BX75" s="63">
        <v>0</v>
      </c>
      <c r="BY75" s="63" t="s">
        <v>453</v>
      </c>
      <c r="BZ75" s="63" t="s">
        <v>454</v>
      </c>
      <c r="CA75" s="63" t="s">
        <v>456</v>
      </c>
      <c r="CB75" s="65"/>
      <c r="CC75" s="63">
        <v>2</v>
      </c>
      <c r="CD75" s="63">
        <v>2</v>
      </c>
      <c r="CE75" s="63">
        <v>0</v>
      </c>
      <c r="CF75" s="63"/>
      <c r="CG75" s="63" t="s">
        <v>503</v>
      </c>
    </row>
    <row r="76" s="52" customFormat="1" ht="13.5" spans="1:85">
      <c r="A76" s="61" t="s">
        <v>45</v>
      </c>
      <c r="B76" s="61" t="s">
        <v>579</v>
      </c>
      <c r="C76" s="61">
        <v>13950</v>
      </c>
      <c r="D76" s="61"/>
      <c r="E76" s="61" t="s">
        <v>580</v>
      </c>
      <c r="F76" s="61" t="b">
        <f>IF(COUNTIF(按提示输入属性!D17,E76)&gt;0,TRUE,FALSE)</f>
        <v>0</v>
      </c>
      <c r="G76" s="61"/>
      <c r="H76" s="61"/>
      <c r="I76" s="61"/>
      <c r="J76" s="61"/>
      <c r="K76" s="61">
        <v>487</v>
      </c>
      <c r="L76" s="61">
        <f>INT(K76*F342)</f>
        <v>523</v>
      </c>
      <c r="M76" s="61">
        <v>948</v>
      </c>
      <c r="N76" s="61">
        <f>INT(M76*F342)</f>
        <v>1019</v>
      </c>
      <c r="O76" s="61">
        <v>0</v>
      </c>
      <c r="P76" s="61">
        <f>INT(O76*F342)</f>
        <v>0</v>
      </c>
      <c r="Q76" s="61">
        <v>0</v>
      </c>
      <c r="R76" s="61">
        <f>INT(Q76*F342)</f>
        <v>0</v>
      </c>
      <c r="S76" s="61">
        <v>2444</v>
      </c>
      <c r="T76" s="61">
        <f>INT(S76*F342)</f>
        <v>2627</v>
      </c>
      <c r="U76" s="61">
        <v>0</v>
      </c>
      <c r="V76" s="61">
        <f>INT(U76*F342)</f>
        <v>0</v>
      </c>
      <c r="W76" s="61">
        <v>2172</v>
      </c>
      <c r="X76" s="61">
        <f>INT(W76*F342)</f>
        <v>2335</v>
      </c>
      <c r="Y76" s="61">
        <v>0</v>
      </c>
      <c r="Z76" s="61">
        <v>0</v>
      </c>
      <c r="AA76" s="61">
        <v>0</v>
      </c>
      <c r="AB76" s="61">
        <v>0</v>
      </c>
      <c r="AC76" s="61">
        <v>0</v>
      </c>
      <c r="AD76" s="61">
        <v>0</v>
      </c>
      <c r="AE76" s="61">
        <v>0</v>
      </c>
      <c r="AF76" s="61">
        <v>0</v>
      </c>
      <c r="AG76" s="61">
        <v>0</v>
      </c>
      <c r="AH76" s="61">
        <v>0</v>
      </c>
      <c r="AI76" s="61">
        <v>0</v>
      </c>
      <c r="AJ76" s="61"/>
      <c r="AK76" s="61"/>
      <c r="AL76" s="61"/>
      <c r="AM76" s="61"/>
      <c r="AN76" s="61"/>
      <c r="AO76" s="61"/>
      <c r="AP76" s="61" t="s">
        <v>486</v>
      </c>
      <c r="AQ76" s="61">
        <v>6</v>
      </c>
      <c r="AR76" s="61" t="s">
        <v>524</v>
      </c>
      <c r="AS76" s="61">
        <v>1</v>
      </c>
      <c r="AT76" s="61" t="s">
        <v>450</v>
      </c>
      <c r="AU76" s="61" t="s">
        <v>450</v>
      </c>
      <c r="AV76" s="61" t="s">
        <v>450</v>
      </c>
      <c r="AW76" s="61">
        <v>2512</v>
      </c>
      <c r="AX76" s="61">
        <v>0</v>
      </c>
      <c r="AY76" s="61">
        <v>0</v>
      </c>
      <c r="AZ76" s="61">
        <v>0</v>
      </c>
      <c r="BA76" s="61" t="s">
        <v>451</v>
      </c>
      <c r="BB76" s="61" t="s">
        <v>452</v>
      </c>
      <c r="BC76" s="61" t="s">
        <v>453</v>
      </c>
      <c r="BD76" s="61" t="s">
        <v>454</v>
      </c>
      <c r="BE76" s="61" t="s">
        <v>462</v>
      </c>
      <c r="BF76" s="61" t="s">
        <v>456</v>
      </c>
      <c r="BG76" s="61" t="s">
        <v>456</v>
      </c>
      <c r="BH76" s="61" t="s">
        <v>456</v>
      </c>
      <c r="BI76" s="61" t="s">
        <v>456</v>
      </c>
      <c r="BJ76" s="61" t="s">
        <v>456</v>
      </c>
      <c r="BK76" s="61" t="s">
        <v>456</v>
      </c>
      <c r="BL76" s="61" t="s">
        <v>456</v>
      </c>
      <c r="BM76" s="61">
        <v>5095</v>
      </c>
      <c r="BN76" s="61">
        <v>988</v>
      </c>
      <c r="BO76" s="61">
        <v>1923</v>
      </c>
      <c r="BP76" s="61">
        <v>4958</v>
      </c>
      <c r="BQ76" s="61">
        <v>4407</v>
      </c>
      <c r="BR76" s="61">
        <v>0</v>
      </c>
      <c r="BS76" s="61">
        <v>0</v>
      </c>
      <c r="BT76" s="61">
        <v>0</v>
      </c>
      <c r="BU76" s="61">
        <v>0</v>
      </c>
      <c r="BV76" s="61">
        <v>0</v>
      </c>
      <c r="BW76" s="61">
        <v>0</v>
      </c>
      <c r="BX76" s="61">
        <v>0</v>
      </c>
      <c r="BY76" s="61" t="s">
        <v>452</v>
      </c>
      <c r="BZ76" s="61" t="s">
        <v>461</v>
      </c>
      <c r="CA76" s="61" t="s">
        <v>456</v>
      </c>
      <c r="CB76" s="66"/>
      <c r="CC76" s="61">
        <v>2</v>
      </c>
      <c r="CD76" s="61">
        <v>2</v>
      </c>
      <c r="CE76" s="61">
        <v>0</v>
      </c>
      <c r="CF76" s="61"/>
      <c r="CG76" s="61" t="s">
        <v>503</v>
      </c>
    </row>
    <row r="77" s="52" customFormat="1" ht="13.5" spans="1:85">
      <c r="A77" s="61" t="s">
        <v>45</v>
      </c>
      <c r="B77" s="61" t="s">
        <v>581</v>
      </c>
      <c r="C77" s="61">
        <v>12450</v>
      </c>
      <c r="D77" s="61"/>
      <c r="E77" s="61" t="s">
        <v>582</v>
      </c>
      <c r="F77" s="61" t="b">
        <f>IF(COUNTIF(按提示输入属性!D17,E77)&gt;0,TRUE,FALSE)</f>
        <v>0</v>
      </c>
      <c r="G77" s="61"/>
      <c r="H77" s="61"/>
      <c r="I77" s="61"/>
      <c r="J77" s="61"/>
      <c r="K77" s="61">
        <v>435</v>
      </c>
      <c r="L77" s="61">
        <f>INT(K77*F342)</f>
        <v>467</v>
      </c>
      <c r="M77" s="61">
        <v>846</v>
      </c>
      <c r="N77" s="61">
        <f>INT(M77*F342)</f>
        <v>909</v>
      </c>
      <c r="O77" s="61">
        <v>0</v>
      </c>
      <c r="P77" s="61">
        <f>INT(O77*F342)</f>
        <v>0</v>
      </c>
      <c r="Q77" s="61">
        <v>0</v>
      </c>
      <c r="R77" s="61">
        <f>INT(Q77*F342)</f>
        <v>0</v>
      </c>
      <c r="S77" s="61">
        <v>2181</v>
      </c>
      <c r="T77" s="61">
        <f>INT(S77*F342)</f>
        <v>2345</v>
      </c>
      <c r="U77" s="61">
        <v>1939</v>
      </c>
      <c r="V77" s="61">
        <f>INT(U77*F342)</f>
        <v>2084</v>
      </c>
      <c r="W77" s="61">
        <v>0</v>
      </c>
      <c r="X77" s="61">
        <f>INT(W77*F342)</f>
        <v>0</v>
      </c>
      <c r="Y77" s="61">
        <v>0</v>
      </c>
      <c r="Z77" s="61">
        <v>0</v>
      </c>
      <c r="AA77" s="61">
        <v>0</v>
      </c>
      <c r="AB77" s="61">
        <v>0</v>
      </c>
      <c r="AC77" s="61">
        <v>0</v>
      </c>
      <c r="AD77" s="61">
        <v>0</v>
      </c>
      <c r="AE77" s="61">
        <v>0</v>
      </c>
      <c r="AF77" s="61">
        <v>0</v>
      </c>
      <c r="AG77" s="61">
        <v>0</v>
      </c>
      <c r="AH77" s="61">
        <v>0</v>
      </c>
      <c r="AI77" s="61">
        <v>0</v>
      </c>
      <c r="AJ77" s="61"/>
      <c r="AK77" s="61"/>
      <c r="AL77" s="61"/>
      <c r="AM77" s="61"/>
      <c r="AN77" s="61"/>
      <c r="AO77" s="61"/>
      <c r="AP77" s="61" t="s">
        <v>465</v>
      </c>
      <c r="AQ77" s="61">
        <v>6</v>
      </c>
      <c r="AR77" s="61" t="s">
        <v>449</v>
      </c>
      <c r="AS77" s="61">
        <v>1</v>
      </c>
      <c r="AT77" s="61" t="s">
        <v>450</v>
      </c>
      <c r="AU77" s="61" t="s">
        <v>450</v>
      </c>
      <c r="AV77" s="61" t="s">
        <v>450</v>
      </c>
      <c r="AW77" s="61">
        <v>2242</v>
      </c>
      <c r="AX77" s="61">
        <v>0</v>
      </c>
      <c r="AY77" s="61">
        <v>0</v>
      </c>
      <c r="AZ77" s="61">
        <v>0</v>
      </c>
      <c r="BA77" s="61" t="s">
        <v>451</v>
      </c>
      <c r="BB77" s="61" t="s">
        <v>452</v>
      </c>
      <c r="BC77" s="61" t="s">
        <v>453</v>
      </c>
      <c r="BD77" s="61" t="s">
        <v>461</v>
      </c>
      <c r="BE77" s="61" t="s">
        <v>462</v>
      </c>
      <c r="BF77" s="61" t="s">
        <v>456</v>
      </c>
      <c r="BG77" s="61" t="s">
        <v>456</v>
      </c>
      <c r="BH77" s="61" t="s">
        <v>456</v>
      </c>
      <c r="BI77" s="61" t="s">
        <v>456</v>
      </c>
      <c r="BJ77" s="61" t="s">
        <v>456</v>
      </c>
      <c r="BK77" s="61" t="s">
        <v>456</v>
      </c>
      <c r="BL77" s="61" t="s">
        <v>456</v>
      </c>
      <c r="BM77" s="61">
        <v>3516</v>
      </c>
      <c r="BN77" s="61">
        <v>682</v>
      </c>
      <c r="BO77" s="61">
        <v>1327</v>
      </c>
      <c r="BP77" s="61">
        <v>3421</v>
      </c>
      <c r="BQ77" s="61">
        <v>3041</v>
      </c>
      <c r="BR77" s="61">
        <v>0</v>
      </c>
      <c r="BS77" s="61">
        <v>0</v>
      </c>
      <c r="BT77" s="61">
        <v>0</v>
      </c>
      <c r="BU77" s="61">
        <v>0</v>
      </c>
      <c r="BV77" s="61">
        <v>0</v>
      </c>
      <c r="BW77" s="61">
        <v>0</v>
      </c>
      <c r="BX77" s="61">
        <v>0</v>
      </c>
      <c r="BY77" s="61" t="s">
        <v>461</v>
      </c>
      <c r="BZ77" s="61" t="s">
        <v>453</v>
      </c>
      <c r="CA77" s="61" t="s">
        <v>456</v>
      </c>
      <c r="CB77" s="66"/>
      <c r="CC77" s="61">
        <v>2</v>
      </c>
      <c r="CD77" s="61">
        <v>2</v>
      </c>
      <c r="CE77" s="61">
        <v>0</v>
      </c>
      <c r="CF77" s="61"/>
      <c r="CG77" s="61" t="s">
        <v>449</v>
      </c>
    </row>
    <row r="78" s="52" customFormat="1" ht="13.5" spans="1:85">
      <c r="A78" s="61" t="s">
        <v>45</v>
      </c>
      <c r="B78" s="61" t="s">
        <v>583</v>
      </c>
      <c r="C78" s="61">
        <v>12450</v>
      </c>
      <c r="D78" s="61"/>
      <c r="E78" s="61" t="s">
        <v>584</v>
      </c>
      <c r="F78" s="61" t="b">
        <f>IF(COUNTIF(按提示输入属性!D17,E78)&gt;0,TRUE,FALSE)</f>
        <v>0</v>
      </c>
      <c r="G78" s="61"/>
      <c r="H78" s="61"/>
      <c r="I78" s="61"/>
      <c r="J78" s="61"/>
      <c r="K78" s="61">
        <v>435</v>
      </c>
      <c r="L78" s="61">
        <f>INT(K78*F342)</f>
        <v>467</v>
      </c>
      <c r="M78" s="61">
        <v>846</v>
      </c>
      <c r="N78" s="61">
        <f>INT(M78*F342)</f>
        <v>909</v>
      </c>
      <c r="O78" s="61">
        <v>2181</v>
      </c>
      <c r="P78" s="61">
        <f>INT(O78*F342)</f>
        <v>2345</v>
      </c>
      <c r="Q78" s="61">
        <v>0</v>
      </c>
      <c r="R78" s="61">
        <f>INT(Q78*F342)</f>
        <v>0</v>
      </c>
      <c r="S78" s="61">
        <v>0</v>
      </c>
      <c r="T78" s="61">
        <f>INT(S78*F342)</f>
        <v>0</v>
      </c>
      <c r="U78" s="61">
        <v>0</v>
      </c>
      <c r="V78" s="61">
        <f>INT(U78*F342)</f>
        <v>0</v>
      </c>
      <c r="W78" s="61">
        <v>1939</v>
      </c>
      <c r="X78" s="61">
        <f>INT(W78*F342)</f>
        <v>2084</v>
      </c>
      <c r="Y78" s="61">
        <v>0</v>
      </c>
      <c r="Z78" s="61">
        <v>0</v>
      </c>
      <c r="AA78" s="61">
        <v>0</v>
      </c>
      <c r="AB78" s="61">
        <v>0</v>
      </c>
      <c r="AC78" s="61">
        <v>0</v>
      </c>
      <c r="AD78" s="61">
        <v>0</v>
      </c>
      <c r="AE78" s="61">
        <v>0</v>
      </c>
      <c r="AF78" s="61">
        <v>0</v>
      </c>
      <c r="AG78" s="61">
        <v>0</v>
      </c>
      <c r="AH78" s="61">
        <v>0</v>
      </c>
      <c r="AI78" s="61">
        <v>0</v>
      </c>
      <c r="AJ78" s="61"/>
      <c r="AK78" s="61"/>
      <c r="AL78" s="61"/>
      <c r="AM78" s="61"/>
      <c r="AN78" s="61"/>
      <c r="AO78" s="61"/>
      <c r="AP78" s="61" t="s">
        <v>460</v>
      </c>
      <c r="AQ78" s="61">
        <v>6</v>
      </c>
      <c r="AR78" s="61" t="s">
        <v>449</v>
      </c>
      <c r="AS78" s="61">
        <v>1</v>
      </c>
      <c r="AT78" s="61" t="s">
        <v>450</v>
      </c>
      <c r="AU78" s="61" t="s">
        <v>450</v>
      </c>
      <c r="AV78" s="61" t="s">
        <v>450</v>
      </c>
      <c r="AW78" s="61">
        <v>2242</v>
      </c>
      <c r="AX78" s="61">
        <v>0</v>
      </c>
      <c r="AY78" s="61">
        <v>0</v>
      </c>
      <c r="AZ78" s="61">
        <v>0</v>
      </c>
      <c r="BA78" s="61" t="s">
        <v>451</v>
      </c>
      <c r="BB78" s="61" t="s">
        <v>452</v>
      </c>
      <c r="BC78" s="61" t="s">
        <v>453</v>
      </c>
      <c r="BD78" s="61" t="s">
        <v>454</v>
      </c>
      <c r="BE78" s="61" t="s">
        <v>462</v>
      </c>
      <c r="BF78" s="61" t="s">
        <v>456</v>
      </c>
      <c r="BG78" s="61" t="s">
        <v>456</v>
      </c>
      <c r="BH78" s="61" t="s">
        <v>456</v>
      </c>
      <c r="BI78" s="61" t="s">
        <v>456</v>
      </c>
      <c r="BJ78" s="61" t="s">
        <v>456</v>
      </c>
      <c r="BK78" s="61" t="s">
        <v>456</v>
      </c>
      <c r="BL78" s="61" t="s">
        <v>456</v>
      </c>
      <c r="BM78" s="61">
        <v>3516</v>
      </c>
      <c r="BN78" s="61">
        <v>682</v>
      </c>
      <c r="BO78" s="61">
        <v>1327</v>
      </c>
      <c r="BP78" s="61">
        <v>3421</v>
      </c>
      <c r="BQ78" s="61">
        <v>3041</v>
      </c>
      <c r="BR78" s="61">
        <v>0</v>
      </c>
      <c r="BS78" s="61">
        <v>0</v>
      </c>
      <c r="BT78" s="61">
        <v>0</v>
      </c>
      <c r="BU78" s="61">
        <v>0</v>
      </c>
      <c r="BV78" s="61">
        <v>0</v>
      </c>
      <c r="BW78" s="61">
        <v>0</v>
      </c>
      <c r="BX78" s="61">
        <v>0</v>
      </c>
      <c r="BY78" s="61" t="s">
        <v>462</v>
      </c>
      <c r="BZ78" s="61" t="s">
        <v>461</v>
      </c>
      <c r="CA78" s="61" t="s">
        <v>456</v>
      </c>
      <c r="CB78" s="66"/>
      <c r="CC78" s="61">
        <v>2</v>
      </c>
      <c r="CD78" s="61">
        <v>2</v>
      </c>
      <c r="CE78" s="61">
        <v>0</v>
      </c>
      <c r="CF78" s="61"/>
      <c r="CG78" s="61" t="s">
        <v>449</v>
      </c>
    </row>
    <row r="79" s="54" customFormat="1" ht="13.5" spans="1:85">
      <c r="A79" s="63" t="s">
        <v>45</v>
      </c>
      <c r="B79" s="63" t="s">
        <v>585</v>
      </c>
      <c r="C79" s="63">
        <v>12450</v>
      </c>
      <c r="D79" s="63"/>
      <c r="E79" s="63" t="s">
        <v>586</v>
      </c>
      <c r="F79" s="63" t="b">
        <f>IF(COUNTIF(按提示输入属性!D17,E79)&gt;0,TRUE,FALSE)</f>
        <v>0</v>
      </c>
      <c r="G79" s="63"/>
      <c r="H79" s="63"/>
      <c r="I79" s="63"/>
      <c r="J79" s="63"/>
      <c r="K79" s="63">
        <v>0</v>
      </c>
      <c r="L79" s="63">
        <f>INT(K79*F342)</f>
        <v>0</v>
      </c>
      <c r="M79" s="63">
        <v>2213</v>
      </c>
      <c r="N79" s="63">
        <f>INT(M79*F343)</f>
        <v>2297</v>
      </c>
      <c r="O79" s="63">
        <v>0</v>
      </c>
      <c r="P79" s="61">
        <f>INT(O79*F343)</f>
        <v>0</v>
      </c>
      <c r="Q79" s="63">
        <v>0</v>
      </c>
      <c r="R79" s="61">
        <f>INT(Q79*F342)</f>
        <v>0</v>
      </c>
      <c r="S79" s="63">
        <v>0</v>
      </c>
      <c r="T79" s="61">
        <f>INT(S79*F343)</f>
        <v>0</v>
      </c>
      <c r="U79" s="63">
        <v>0</v>
      </c>
      <c r="V79" s="61">
        <f>INT(U79*F343)</f>
        <v>0</v>
      </c>
      <c r="W79" s="63">
        <v>4059</v>
      </c>
      <c r="X79" s="61">
        <f>INT(W79*F343)</f>
        <v>4213</v>
      </c>
      <c r="Y79" s="63">
        <v>0</v>
      </c>
      <c r="Z79" s="63">
        <v>0</v>
      </c>
      <c r="AA79" s="63">
        <v>0</v>
      </c>
      <c r="AB79" s="63">
        <v>0</v>
      </c>
      <c r="AC79" s="63">
        <v>0</v>
      </c>
      <c r="AD79" s="63">
        <v>0</v>
      </c>
      <c r="AE79" s="63">
        <v>0</v>
      </c>
      <c r="AF79" s="63">
        <v>0</v>
      </c>
      <c r="AG79" s="63">
        <v>0</v>
      </c>
      <c r="AH79" s="63">
        <v>0</v>
      </c>
      <c r="AI79" s="63">
        <v>0</v>
      </c>
      <c r="AJ79" s="63"/>
      <c r="AK79" s="63"/>
      <c r="AL79" s="63"/>
      <c r="AM79" s="63"/>
      <c r="AN79" s="63"/>
      <c r="AO79" s="63"/>
      <c r="AP79" s="63" t="s">
        <v>519</v>
      </c>
      <c r="AQ79" s="63">
        <v>4</v>
      </c>
      <c r="AR79" s="63" t="s">
        <v>449</v>
      </c>
      <c r="AS79" s="63">
        <v>1</v>
      </c>
      <c r="AT79" s="63" t="s">
        <v>450</v>
      </c>
      <c r="AU79" s="63" t="s">
        <v>450</v>
      </c>
      <c r="AV79" s="63" t="s">
        <v>450</v>
      </c>
      <c r="AW79" s="63">
        <v>2242</v>
      </c>
      <c r="AX79" s="63">
        <v>0</v>
      </c>
      <c r="AY79" s="63">
        <v>0</v>
      </c>
      <c r="AZ79" s="63">
        <v>0</v>
      </c>
      <c r="BA79" s="63" t="s">
        <v>451</v>
      </c>
      <c r="BB79" s="63" t="s">
        <v>452</v>
      </c>
      <c r="BC79" s="63" t="s">
        <v>453</v>
      </c>
      <c r="BD79" s="63" t="s">
        <v>587</v>
      </c>
      <c r="BE79" s="63" t="s">
        <v>455</v>
      </c>
      <c r="BF79" s="63" t="s">
        <v>456</v>
      </c>
      <c r="BG79" s="63" t="s">
        <v>456</v>
      </c>
      <c r="BH79" s="63" t="s">
        <v>456</v>
      </c>
      <c r="BI79" s="63" t="s">
        <v>456</v>
      </c>
      <c r="BJ79" s="63" t="s">
        <v>456</v>
      </c>
      <c r="BK79" s="63" t="s">
        <v>456</v>
      </c>
      <c r="BL79" s="63" t="s">
        <v>456</v>
      </c>
      <c r="BM79" s="63">
        <v>3516</v>
      </c>
      <c r="BN79" s="63">
        <v>682</v>
      </c>
      <c r="BO79" s="63">
        <v>1327</v>
      </c>
      <c r="BP79" s="63">
        <v>3421</v>
      </c>
      <c r="BQ79" s="63">
        <v>3041</v>
      </c>
      <c r="BR79" s="63">
        <v>0</v>
      </c>
      <c r="BS79" s="63">
        <v>0</v>
      </c>
      <c r="BT79" s="63">
        <v>0</v>
      </c>
      <c r="BU79" s="63">
        <v>0</v>
      </c>
      <c r="BV79" s="63">
        <v>0</v>
      </c>
      <c r="BW79" s="63">
        <v>0</v>
      </c>
      <c r="BX79" s="63">
        <v>0</v>
      </c>
      <c r="BY79" s="63" t="s">
        <v>453</v>
      </c>
      <c r="BZ79" s="63" t="s">
        <v>452</v>
      </c>
      <c r="CA79" s="63" t="s">
        <v>456</v>
      </c>
      <c r="CB79" s="65"/>
      <c r="CC79" s="63">
        <v>2</v>
      </c>
      <c r="CD79" s="63">
        <v>2</v>
      </c>
      <c r="CE79" s="63">
        <v>0</v>
      </c>
      <c r="CF79" s="63"/>
      <c r="CG79" s="63" t="s">
        <v>449</v>
      </c>
    </row>
    <row r="80" s="54" customFormat="1" ht="13.5" spans="1:85">
      <c r="A80" s="63" t="s">
        <v>45</v>
      </c>
      <c r="B80" s="63" t="s">
        <v>588</v>
      </c>
      <c r="C80" s="63">
        <v>12450</v>
      </c>
      <c r="D80" s="63"/>
      <c r="E80" s="63" t="s">
        <v>589</v>
      </c>
      <c r="F80" s="63" t="b">
        <f>IF(COUNTIF(按提示输入属性!D17,E80)&gt;0,TRUE,FALSE)</f>
        <v>0</v>
      </c>
      <c r="G80" s="63"/>
      <c r="H80" s="63"/>
      <c r="I80" s="63"/>
      <c r="J80" s="63"/>
      <c r="K80" s="63">
        <v>0</v>
      </c>
      <c r="L80" s="63">
        <f>INT(K80*F342)</f>
        <v>0</v>
      </c>
      <c r="M80" s="63">
        <v>1823</v>
      </c>
      <c r="N80" s="63">
        <f>INT(M80*F343)</f>
        <v>1892</v>
      </c>
      <c r="O80" s="63">
        <v>0</v>
      </c>
      <c r="P80" s="61">
        <f>INT(O80*F343)</f>
        <v>0</v>
      </c>
      <c r="Q80" s="63">
        <v>0</v>
      </c>
      <c r="R80" s="61">
        <f>INT(Q80*F342)</f>
        <v>0</v>
      </c>
      <c r="S80" s="63">
        <v>2302</v>
      </c>
      <c r="T80" s="61">
        <f>INT(S80*F343)</f>
        <v>2389</v>
      </c>
      <c r="U80" s="63">
        <v>2545</v>
      </c>
      <c r="V80" s="61">
        <f>INT(U80*F343)</f>
        <v>2641</v>
      </c>
      <c r="W80" s="63">
        <v>0</v>
      </c>
      <c r="X80" s="61">
        <f>INT(W80*F343)</f>
        <v>0</v>
      </c>
      <c r="Y80" s="63">
        <v>0</v>
      </c>
      <c r="Z80" s="63">
        <v>0</v>
      </c>
      <c r="AA80" s="63">
        <v>0</v>
      </c>
      <c r="AB80" s="63">
        <v>0</v>
      </c>
      <c r="AC80" s="63">
        <v>0</v>
      </c>
      <c r="AD80" s="63">
        <v>0</v>
      </c>
      <c r="AE80" s="63">
        <v>0</v>
      </c>
      <c r="AF80" s="63">
        <v>0</v>
      </c>
      <c r="AG80" s="63">
        <v>0</v>
      </c>
      <c r="AH80" s="63">
        <v>0</v>
      </c>
      <c r="AI80" s="63">
        <v>0</v>
      </c>
      <c r="AJ80" s="63"/>
      <c r="AK80" s="63"/>
      <c r="AL80" s="63"/>
      <c r="AM80" s="63"/>
      <c r="AN80" s="63"/>
      <c r="AO80" s="63"/>
      <c r="AP80" s="63" t="s">
        <v>521</v>
      </c>
      <c r="AQ80" s="63">
        <v>4</v>
      </c>
      <c r="AR80" s="63" t="s">
        <v>449</v>
      </c>
      <c r="AS80" s="63">
        <v>1</v>
      </c>
      <c r="AT80" s="63" t="s">
        <v>450</v>
      </c>
      <c r="AU80" s="63" t="s">
        <v>450</v>
      </c>
      <c r="AV80" s="63" t="s">
        <v>450</v>
      </c>
      <c r="AW80" s="63">
        <v>2242</v>
      </c>
      <c r="AX80" s="63">
        <v>0</v>
      </c>
      <c r="AY80" s="63">
        <v>0</v>
      </c>
      <c r="AZ80" s="63">
        <v>0</v>
      </c>
      <c r="BA80" s="63" t="s">
        <v>451</v>
      </c>
      <c r="BB80" s="63" t="s">
        <v>452</v>
      </c>
      <c r="BC80" s="63" t="s">
        <v>453</v>
      </c>
      <c r="BD80" s="63" t="s">
        <v>587</v>
      </c>
      <c r="BE80" s="63" t="s">
        <v>462</v>
      </c>
      <c r="BF80" s="63" t="s">
        <v>456</v>
      </c>
      <c r="BG80" s="63" t="s">
        <v>456</v>
      </c>
      <c r="BH80" s="63" t="s">
        <v>456</v>
      </c>
      <c r="BI80" s="63" t="s">
        <v>456</v>
      </c>
      <c r="BJ80" s="63" t="s">
        <v>456</v>
      </c>
      <c r="BK80" s="63" t="s">
        <v>456</v>
      </c>
      <c r="BL80" s="63" t="s">
        <v>456</v>
      </c>
      <c r="BM80" s="63">
        <v>5023</v>
      </c>
      <c r="BN80" s="63">
        <v>974</v>
      </c>
      <c r="BO80" s="63">
        <v>1896</v>
      </c>
      <c r="BP80" s="63">
        <v>4888</v>
      </c>
      <c r="BQ80" s="63">
        <v>4344</v>
      </c>
      <c r="BR80" s="63">
        <v>0</v>
      </c>
      <c r="BS80" s="63">
        <v>0</v>
      </c>
      <c r="BT80" s="63">
        <v>0</v>
      </c>
      <c r="BU80" s="63">
        <v>0</v>
      </c>
      <c r="BV80" s="63">
        <v>0</v>
      </c>
      <c r="BW80" s="63">
        <v>0</v>
      </c>
      <c r="BX80" s="63">
        <v>0</v>
      </c>
      <c r="BY80" s="63" t="s">
        <v>455</v>
      </c>
      <c r="BZ80" s="63" t="s">
        <v>461</v>
      </c>
      <c r="CA80" s="63" t="s">
        <v>456</v>
      </c>
      <c r="CB80" s="65"/>
      <c r="CC80" s="63">
        <v>2</v>
      </c>
      <c r="CD80" s="63">
        <v>2</v>
      </c>
      <c r="CE80" s="63">
        <v>0</v>
      </c>
      <c r="CF80" s="63"/>
      <c r="CG80" s="63" t="s">
        <v>449</v>
      </c>
    </row>
    <row r="81" s="54" customFormat="1" ht="13.5" spans="1:85">
      <c r="A81" s="63" t="s">
        <v>45</v>
      </c>
      <c r="B81" s="63" t="s">
        <v>590</v>
      </c>
      <c r="C81" s="63">
        <v>12450</v>
      </c>
      <c r="D81" s="63"/>
      <c r="E81" s="63" t="s">
        <v>591</v>
      </c>
      <c r="F81" s="63" t="b">
        <f>IF(COUNTIF(按提示输入属性!D17,E81)&gt;0,TRUE,FALSE)</f>
        <v>0</v>
      </c>
      <c r="G81" s="63"/>
      <c r="H81" s="63"/>
      <c r="I81" s="63"/>
      <c r="J81" s="63"/>
      <c r="K81" s="63">
        <v>0</v>
      </c>
      <c r="L81" s="63">
        <f>INT(K81*F342)</f>
        <v>0</v>
      </c>
      <c r="M81" s="63">
        <v>1562</v>
      </c>
      <c r="N81" s="63">
        <f>INT(M81*F343)</f>
        <v>1621</v>
      </c>
      <c r="O81" s="63">
        <v>1575</v>
      </c>
      <c r="P81" s="63">
        <f>INT(O81*F343)</f>
        <v>1634</v>
      </c>
      <c r="Q81" s="63">
        <v>0</v>
      </c>
      <c r="R81" s="63">
        <f>INT(Q81*F342)</f>
        <v>0</v>
      </c>
      <c r="S81" s="63">
        <v>0</v>
      </c>
      <c r="T81" s="63">
        <f>INT(S81*F343)</f>
        <v>0</v>
      </c>
      <c r="U81" s="63">
        <v>0</v>
      </c>
      <c r="V81" s="63">
        <f>INT(U81*F343)</f>
        <v>0</v>
      </c>
      <c r="W81" s="63">
        <v>3877</v>
      </c>
      <c r="X81" s="63">
        <f>INT(W81*F343)</f>
        <v>4024</v>
      </c>
      <c r="Y81" s="63">
        <v>0</v>
      </c>
      <c r="Z81" s="63">
        <v>0</v>
      </c>
      <c r="AA81" s="63">
        <v>0</v>
      </c>
      <c r="AB81" s="63">
        <v>0</v>
      </c>
      <c r="AC81" s="63">
        <v>0</v>
      </c>
      <c r="AD81" s="63">
        <v>0</v>
      </c>
      <c r="AE81" s="63">
        <v>0</v>
      </c>
      <c r="AF81" s="63">
        <v>0</v>
      </c>
      <c r="AG81" s="63">
        <v>0</v>
      </c>
      <c r="AH81" s="63">
        <v>0</v>
      </c>
      <c r="AI81" s="63">
        <v>0</v>
      </c>
      <c r="AJ81" s="63"/>
      <c r="AK81" s="63"/>
      <c r="AL81" s="63"/>
      <c r="AM81" s="63"/>
      <c r="AN81" s="63"/>
      <c r="AO81" s="63"/>
      <c r="AP81" s="63" t="s">
        <v>551</v>
      </c>
      <c r="AQ81" s="63">
        <v>4</v>
      </c>
      <c r="AR81" s="63" t="s">
        <v>449</v>
      </c>
      <c r="AS81" s="63">
        <v>1</v>
      </c>
      <c r="AT81" s="63" t="s">
        <v>450</v>
      </c>
      <c r="AU81" s="63" t="s">
        <v>450</v>
      </c>
      <c r="AV81" s="63" t="s">
        <v>450</v>
      </c>
      <c r="AW81" s="63">
        <v>2242</v>
      </c>
      <c r="AX81" s="63">
        <v>0</v>
      </c>
      <c r="AY81" s="63">
        <v>0</v>
      </c>
      <c r="AZ81" s="63">
        <v>0</v>
      </c>
      <c r="BA81" s="63" t="s">
        <v>451</v>
      </c>
      <c r="BB81" s="63" t="s">
        <v>452</v>
      </c>
      <c r="BC81" s="63" t="s">
        <v>453</v>
      </c>
      <c r="BD81" s="63" t="s">
        <v>461</v>
      </c>
      <c r="BE81" s="63" t="s">
        <v>462</v>
      </c>
      <c r="BF81" s="63" t="s">
        <v>456</v>
      </c>
      <c r="BG81" s="63" t="s">
        <v>456</v>
      </c>
      <c r="BH81" s="63" t="s">
        <v>456</v>
      </c>
      <c r="BI81" s="63" t="s">
        <v>456</v>
      </c>
      <c r="BJ81" s="63" t="s">
        <v>456</v>
      </c>
      <c r="BK81" s="63" t="s">
        <v>456</v>
      </c>
      <c r="BL81" s="63" t="s">
        <v>456</v>
      </c>
      <c r="BM81" s="63">
        <v>4521</v>
      </c>
      <c r="BN81" s="63">
        <v>877</v>
      </c>
      <c r="BO81" s="63">
        <v>1707</v>
      </c>
      <c r="BP81" s="63">
        <v>4399</v>
      </c>
      <c r="BQ81" s="63">
        <v>3910</v>
      </c>
      <c r="BR81" s="63">
        <v>0</v>
      </c>
      <c r="BS81" s="63">
        <v>0</v>
      </c>
      <c r="BT81" s="63">
        <v>0</v>
      </c>
      <c r="BU81" s="63">
        <v>0</v>
      </c>
      <c r="BV81" s="63">
        <v>0</v>
      </c>
      <c r="BW81" s="63">
        <v>0</v>
      </c>
      <c r="BX81" s="63">
        <v>0</v>
      </c>
      <c r="BY81" s="63" t="s">
        <v>454</v>
      </c>
      <c r="BZ81" s="63" t="s">
        <v>462</v>
      </c>
      <c r="CA81" s="63" t="s">
        <v>456</v>
      </c>
      <c r="CB81" s="65"/>
      <c r="CC81" s="63">
        <v>2</v>
      </c>
      <c r="CD81" s="63">
        <v>2</v>
      </c>
      <c r="CE81" s="63">
        <v>0</v>
      </c>
      <c r="CF81" s="63"/>
      <c r="CG81" s="63" t="s">
        <v>449</v>
      </c>
    </row>
    <row r="82" s="54" customFormat="1" ht="13.5" spans="1:85">
      <c r="A82" s="63" t="s">
        <v>45</v>
      </c>
      <c r="B82" s="63" t="s">
        <v>592</v>
      </c>
      <c r="C82" s="63">
        <v>12450</v>
      </c>
      <c r="D82" s="63"/>
      <c r="E82" s="63" t="s">
        <v>593</v>
      </c>
      <c r="F82" s="63" t="b">
        <f>IF(COUNTIF(按提示输入属性!D17,E82)&gt;0,TRUE,FALSE)</f>
        <v>0</v>
      </c>
      <c r="G82" s="63"/>
      <c r="H82" s="63"/>
      <c r="I82" s="63"/>
      <c r="J82" s="63"/>
      <c r="K82" s="63">
        <v>0</v>
      </c>
      <c r="L82" s="63">
        <f>INT(K82*F342)</f>
        <v>0</v>
      </c>
      <c r="M82" s="63">
        <v>1823</v>
      </c>
      <c r="N82" s="63">
        <f>INT(M82*F343)</f>
        <v>1892</v>
      </c>
      <c r="O82" s="63">
        <v>0</v>
      </c>
      <c r="P82" s="61">
        <f>INT(O82*F343)</f>
        <v>0</v>
      </c>
      <c r="Q82" s="63">
        <v>0</v>
      </c>
      <c r="R82" s="61">
        <f>INT(Q82*F342)</f>
        <v>0</v>
      </c>
      <c r="S82" s="63">
        <v>2302</v>
      </c>
      <c r="T82" s="61">
        <f>INT(S82*F343)</f>
        <v>2389</v>
      </c>
      <c r="U82" s="63">
        <v>0</v>
      </c>
      <c r="V82" s="61">
        <f>INT(U82*F343)</f>
        <v>0</v>
      </c>
      <c r="W82" s="63">
        <v>2545</v>
      </c>
      <c r="X82" s="61">
        <f>INT(W82*F343)</f>
        <v>2641</v>
      </c>
      <c r="Y82" s="63">
        <v>0</v>
      </c>
      <c r="Z82" s="63">
        <v>0</v>
      </c>
      <c r="AA82" s="63">
        <v>0</v>
      </c>
      <c r="AB82" s="63">
        <v>0</v>
      </c>
      <c r="AC82" s="63">
        <v>0</v>
      </c>
      <c r="AD82" s="63">
        <v>0</v>
      </c>
      <c r="AE82" s="63">
        <v>0</v>
      </c>
      <c r="AF82" s="63">
        <v>0</v>
      </c>
      <c r="AG82" s="63">
        <v>0</v>
      </c>
      <c r="AH82" s="63">
        <v>0</v>
      </c>
      <c r="AI82" s="63">
        <v>0</v>
      </c>
      <c r="AJ82" s="63"/>
      <c r="AK82" s="63"/>
      <c r="AL82" s="63"/>
      <c r="AM82" s="63"/>
      <c r="AN82" s="63"/>
      <c r="AO82" s="63"/>
      <c r="AP82" s="63" t="s">
        <v>548</v>
      </c>
      <c r="AQ82" s="63">
        <v>4</v>
      </c>
      <c r="AR82" s="63" t="s">
        <v>449</v>
      </c>
      <c r="AS82" s="63">
        <v>1</v>
      </c>
      <c r="AT82" s="63" t="s">
        <v>450</v>
      </c>
      <c r="AU82" s="63" t="s">
        <v>450</v>
      </c>
      <c r="AV82" s="63" t="s">
        <v>450</v>
      </c>
      <c r="AW82" s="63">
        <v>2242</v>
      </c>
      <c r="AX82" s="63">
        <v>0</v>
      </c>
      <c r="AY82" s="63">
        <v>0</v>
      </c>
      <c r="AZ82" s="63">
        <v>0</v>
      </c>
      <c r="BA82" s="63" t="s">
        <v>451</v>
      </c>
      <c r="BB82" s="63" t="s">
        <v>452</v>
      </c>
      <c r="BC82" s="63" t="s">
        <v>453</v>
      </c>
      <c r="BD82" s="63" t="s">
        <v>454</v>
      </c>
      <c r="BE82" s="63" t="s">
        <v>455</v>
      </c>
      <c r="BF82" s="63" t="s">
        <v>456</v>
      </c>
      <c r="BG82" s="63" t="s">
        <v>456</v>
      </c>
      <c r="BH82" s="63" t="s">
        <v>456</v>
      </c>
      <c r="BI82" s="63" t="s">
        <v>456</v>
      </c>
      <c r="BJ82" s="63" t="s">
        <v>456</v>
      </c>
      <c r="BK82" s="63" t="s">
        <v>456</v>
      </c>
      <c r="BL82" s="63" t="s">
        <v>456</v>
      </c>
      <c r="BM82" s="63">
        <v>5023</v>
      </c>
      <c r="BN82" s="63">
        <v>974</v>
      </c>
      <c r="BO82" s="63">
        <v>1896</v>
      </c>
      <c r="BP82" s="63">
        <v>4888</v>
      </c>
      <c r="BQ82" s="63">
        <v>4344</v>
      </c>
      <c r="BR82" s="63">
        <v>0</v>
      </c>
      <c r="BS82" s="63">
        <v>0</v>
      </c>
      <c r="BT82" s="63">
        <v>0</v>
      </c>
      <c r="BU82" s="63">
        <v>0</v>
      </c>
      <c r="BV82" s="63">
        <v>0</v>
      </c>
      <c r="BW82" s="63">
        <v>0</v>
      </c>
      <c r="BX82" s="63">
        <v>0</v>
      </c>
      <c r="BY82" s="63" t="s">
        <v>452</v>
      </c>
      <c r="BZ82" s="63" t="s">
        <v>461</v>
      </c>
      <c r="CA82" s="63" t="s">
        <v>456</v>
      </c>
      <c r="CB82" s="65"/>
      <c r="CC82" s="63">
        <v>2</v>
      </c>
      <c r="CD82" s="63">
        <v>2</v>
      </c>
      <c r="CE82" s="63">
        <v>0</v>
      </c>
      <c r="CF82" s="63"/>
      <c r="CG82" s="63" t="s">
        <v>449</v>
      </c>
    </row>
    <row r="83" s="52" customFormat="1" ht="13.5" spans="1:85">
      <c r="A83" s="61" t="s">
        <v>45</v>
      </c>
      <c r="B83" s="61" t="s">
        <v>594</v>
      </c>
      <c r="C83" s="61">
        <v>12450</v>
      </c>
      <c r="D83" s="61"/>
      <c r="E83" s="61" t="s">
        <v>595</v>
      </c>
      <c r="F83" s="61" t="b">
        <f>IF(COUNTIF(按提示输入属性!D17,E83)&gt;0,TRUE,FALSE)</f>
        <v>0</v>
      </c>
      <c r="G83" s="61"/>
      <c r="H83" s="61"/>
      <c r="I83" s="61"/>
      <c r="J83" s="61"/>
      <c r="K83" s="61">
        <v>435</v>
      </c>
      <c r="L83" s="61">
        <f>INT(K83*F342)</f>
        <v>467</v>
      </c>
      <c r="M83" s="61">
        <v>846</v>
      </c>
      <c r="N83" s="61">
        <f>INT(M83*F342)</f>
        <v>909</v>
      </c>
      <c r="O83" s="61">
        <v>0</v>
      </c>
      <c r="P83" s="61">
        <f>INT(O83*F342)</f>
        <v>0</v>
      </c>
      <c r="Q83" s="61">
        <v>0</v>
      </c>
      <c r="R83" s="61">
        <f>INT(Q83*F342)</f>
        <v>0</v>
      </c>
      <c r="S83" s="61">
        <v>2181</v>
      </c>
      <c r="T83" s="61">
        <f>INT(S83*F342)</f>
        <v>2345</v>
      </c>
      <c r="U83" s="61">
        <v>0</v>
      </c>
      <c r="V83" s="61">
        <f>INT(U83*F342)</f>
        <v>0</v>
      </c>
      <c r="W83" s="61">
        <v>1939</v>
      </c>
      <c r="X83" s="61">
        <f>INT(W83*F342)</f>
        <v>2084</v>
      </c>
      <c r="Y83" s="61">
        <v>0</v>
      </c>
      <c r="Z83" s="61">
        <v>0</v>
      </c>
      <c r="AA83" s="61">
        <v>0</v>
      </c>
      <c r="AB83" s="61">
        <v>0</v>
      </c>
      <c r="AC83" s="61">
        <v>0</v>
      </c>
      <c r="AD83" s="61">
        <v>0</v>
      </c>
      <c r="AE83" s="61">
        <v>0</v>
      </c>
      <c r="AF83" s="61">
        <v>0</v>
      </c>
      <c r="AG83" s="61">
        <v>0</v>
      </c>
      <c r="AH83" s="61">
        <v>0</v>
      </c>
      <c r="AI83" s="61">
        <v>0</v>
      </c>
      <c r="AJ83" s="61"/>
      <c r="AK83" s="61"/>
      <c r="AL83" s="61"/>
      <c r="AM83" s="61"/>
      <c r="AN83" s="61"/>
      <c r="AO83" s="61"/>
      <c r="AP83" s="61" t="s">
        <v>486</v>
      </c>
      <c r="AQ83" s="61">
        <v>6</v>
      </c>
      <c r="AR83" s="61" t="s">
        <v>524</v>
      </c>
      <c r="AS83" s="61">
        <v>1</v>
      </c>
      <c r="AT83" s="61" t="s">
        <v>450</v>
      </c>
      <c r="AU83" s="61" t="s">
        <v>450</v>
      </c>
      <c r="AV83" s="61" t="s">
        <v>450</v>
      </c>
      <c r="AW83" s="61">
        <v>2242</v>
      </c>
      <c r="AX83" s="61">
        <v>0</v>
      </c>
      <c r="AY83" s="61">
        <v>0</v>
      </c>
      <c r="AZ83" s="61">
        <v>0</v>
      </c>
      <c r="BA83" s="61" t="s">
        <v>451</v>
      </c>
      <c r="BB83" s="61" t="s">
        <v>452</v>
      </c>
      <c r="BC83" s="61" t="s">
        <v>453</v>
      </c>
      <c r="BD83" s="61" t="s">
        <v>454</v>
      </c>
      <c r="BE83" s="61" t="s">
        <v>462</v>
      </c>
      <c r="BF83" s="61" t="s">
        <v>456</v>
      </c>
      <c r="BG83" s="61" t="s">
        <v>456</v>
      </c>
      <c r="BH83" s="61" t="s">
        <v>456</v>
      </c>
      <c r="BI83" s="61" t="s">
        <v>456</v>
      </c>
      <c r="BJ83" s="61" t="s">
        <v>456</v>
      </c>
      <c r="BK83" s="61" t="s">
        <v>456</v>
      </c>
      <c r="BL83" s="61" t="s">
        <v>456</v>
      </c>
      <c r="BM83" s="61">
        <v>3516</v>
      </c>
      <c r="BN83" s="61">
        <v>682</v>
      </c>
      <c r="BO83" s="61">
        <v>1327</v>
      </c>
      <c r="BP83" s="61">
        <v>3421</v>
      </c>
      <c r="BQ83" s="61">
        <v>3041</v>
      </c>
      <c r="BR83" s="61">
        <v>0</v>
      </c>
      <c r="BS83" s="61">
        <v>0</v>
      </c>
      <c r="BT83" s="61">
        <v>0</v>
      </c>
      <c r="BU83" s="61">
        <v>0</v>
      </c>
      <c r="BV83" s="61">
        <v>0</v>
      </c>
      <c r="BW83" s="61">
        <v>0</v>
      </c>
      <c r="BX83" s="61">
        <v>0</v>
      </c>
      <c r="BY83" s="61" t="s">
        <v>462</v>
      </c>
      <c r="BZ83" s="61" t="s">
        <v>452</v>
      </c>
      <c r="CA83" s="61" t="s">
        <v>456</v>
      </c>
      <c r="CB83" s="66"/>
      <c r="CC83" s="61">
        <v>2</v>
      </c>
      <c r="CD83" s="61">
        <v>2</v>
      </c>
      <c r="CE83" s="61">
        <v>0</v>
      </c>
      <c r="CF83" s="61"/>
      <c r="CG83" s="61" t="s">
        <v>449</v>
      </c>
    </row>
    <row r="84" s="52" customFormat="1" ht="13.5" spans="1:85">
      <c r="A84" s="61" t="s">
        <v>45</v>
      </c>
      <c r="B84" s="61" t="s">
        <v>596</v>
      </c>
      <c r="C84" s="61">
        <v>12450</v>
      </c>
      <c r="D84" s="61"/>
      <c r="E84" s="61" t="s">
        <v>597</v>
      </c>
      <c r="F84" s="61" t="b">
        <f>IF(COUNTIF(按提示输入属性!D17,E84)&gt;0,TRUE,FALSE)</f>
        <v>0</v>
      </c>
      <c r="G84" s="61"/>
      <c r="H84" s="61"/>
      <c r="I84" s="61"/>
      <c r="J84" s="61"/>
      <c r="K84" s="61">
        <v>435</v>
      </c>
      <c r="L84" s="61">
        <f>INT(K84*F342)</f>
        <v>467</v>
      </c>
      <c r="M84" s="61">
        <v>846</v>
      </c>
      <c r="N84" s="61">
        <f>INT(M84*F342)</f>
        <v>909</v>
      </c>
      <c r="O84" s="61">
        <v>2181</v>
      </c>
      <c r="P84" s="61">
        <f>INT(O84*F342)</f>
        <v>2345</v>
      </c>
      <c r="Q84" s="61">
        <v>0</v>
      </c>
      <c r="R84" s="61">
        <f>INT(Q84*F342)</f>
        <v>0</v>
      </c>
      <c r="S84" s="61">
        <v>0</v>
      </c>
      <c r="T84" s="61">
        <f>INT(S84*F342)</f>
        <v>0</v>
      </c>
      <c r="U84" s="61">
        <v>1939</v>
      </c>
      <c r="V84" s="61">
        <f>INT(U84*F342)</f>
        <v>2084</v>
      </c>
      <c r="W84" s="61">
        <v>0</v>
      </c>
      <c r="X84" s="61">
        <f>INT(W84*F342)</f>
        <v>0</v>
      </c>
      <c r="Y84" s="61">
        <v>0</v>
      </c>
      <c r="Z84" s="61">
        <v>0</v>
      </c>
      <c r="AA84" s="61">
        <v>0</v>
      </c>
      <c r="AB84" s="61">
        <v>0</v>
      </c>
      <c r="AC84" s="61">
        <v>0</v>
      </c>
      <c r="AD84" s="61">
        <v>0</v>
      </c>
      <c r="AE84" s="61">
        <v>0</v>
      </c>
      <c r="AF84" s="61">
        <v>0</v>
      </c>
      <c r="AG84" s="61">
        <v>0</v>
      </c>
      <c r="AH84" s="61">
        <v>0</v>
      </c>
      <c r="AI84" s="61">
        <v>0</v>
      </c>
      <c r="AJ84" s="61"/>
      <c r="AK84" s="61"/>
      <c r="AL84" s="61"/>
      <c r="AM84" s="61"/>
      <c r="AN84" s="61"/>
      <c r="AO84" s="61"/>
      <c r="AP84" s="61" t="s">
        <v>468</v>
      </c>
      <c r="AQ84" s="61">
        <v>6</v>
      </c>
      <c r="AR84" s="61" t="s">
        <v>469</v>
      </c>
      <c r="AS84" s="61">
        <v>1</v>
      </c>
      <c r="AT84" s="61" t="s">
        <v>450</v>
      </c>
      <c r="AU84" s="61" t="s">
        <v>450</v>
      </c>
      <c r="AV84" s="61" t="s">
        <v>450</v>
      </c>
      <c r="AW84" s="61">
        <v>2242</v>
      </c>
      <c r="AX84" s="61">
        <v>0</v>
      </c>
      <c r="AY84" s="61">
        <v>0</v>
      </c>
      <c r="AZ84" s="61">
        <v>0</v>
      </c>
      <c r="BA84" s="61" t="s">
        <v>451</v>
      </c>
      <c r="BB84" s="61" t="s">
        <v>452</v>
      </c>
      <c r="BC84" s="61" t="s">
        <v>453</v>
      </c>
      <c r="BD84" s="61" t="s">
        <v>587</v>
      </c>
      <c r="BE84" s="61" t="s">
        <v>455</v>
      </c>
      <c r="BF84" s="61" t="s">
        <v>456</v>
      </c>
      <c r="BG84" s="61" t="s">
        <v>456</v>
      </c>
      <c r="BH84" s="61" t="s">
        <v>456</v>
      </c>
      <c r="BI84" s="61" t="s">
        <v>456</v>
      </c>
      <c r="BJ84" s="61" t="s">
        <v>456</v>
      </c>
      <c r="BK84" s="61" t="s">
        <v>456</v>
      </c>
      <c r="BL84" s="61" t="s">
        <v>456</v>
      </c>
      <c r="BM84" s="61">
        <v>3516</v>
      </c>
      <c r="BN84" s="61">
        <v>682</v>
      </c>
      <c r="BO84" s="61">
        <v>1327</v>
      </c>
      <c r="BP84" s="61">
        <v>3421</v>
      </c>
      <c r="BQ84" s="61">
        <v>3041</v>
      </c>
      <c r="BR84" s="61">
        <v>0</v>
      </c>
      <c r="BS84" s="61">
        <v>0</v>
      </c>
      <c r="BT84" s="61">
        <v>0</v>
      </c>
      <c r="BU84" s="61">
        <v>0</v>
      </c>
      <c r="BV84" s="61">
        <v>0</v>
      </c>
      <c r="BW84" s="61">
        <v>0</v>
      </c>
      <c r="BX84" s="61">
        <v>0</v>
      </c>
      <c r="BY84" s="61" t="s">
        <v>461</v>
      </c>
      <c r="BZ84" s="61" t="s">
        <v>453</v>
      </c>
      <c r="CA84" s="61" t="s">
        <v>456</v>
      </c>
      <c r="CB84" s="66"/>
      <c r="CC84" s="61">
        <v>2</v>
      </c>
      <c r="CD84" s="61">
        <v>2</v>
      </c>
      <c r="CE84" s="61">
        <v>0</v>
      </c>
      <c r="CF84" s="61"/>
      <c r="CG84" s="61" t="s">
        <v>449</v>
      </c>
    </row>
    <row r="85" s="52" customFormat="1" ht="13.5" spans="1:85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>
        <f>INT(K85*F342)</f>
        <v>0</v>
      </c>
      <c r="M85" s="61"/>
      <c r="N85" s="61">
        <f>INT(M85*F342)</f>
        <v>0</v>
      </c>
      <c r="O85" s="61"/>
      <c r="P85" s="61">
        <f>INT(O85*F342)</f>
        <v>0</v>
      </c>
      <c r="Q85" s="61"/>
      <c r="R85" s="61">
        <f>INT(Q85*F342)</f>
        <v>0</v>
      </c>
      <c r="S85" s="61"/>
      <c r="T85" s="61">
        <f>INT(S85*F342)</f>
        <v>0</v>
      </c>
      <c r="U85" s="61"/>
      <c r="V85" s="61">
        <f>INT(U85*F342)</f>
        <v>0</v>
      </c>
      <c r="W85" s="61"/>
      <c r="X85" s="61">
        <f>INT(W85*F342)</f>
        <v>0</v>
      </c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6"/>
      <c r="CC85" s="61"/>
      <c r="CD85" s="61"/>
      <c r="CE85" s="61"/>
      <c r="CF85" s="61"/>
      <c r="CG85" s="61"/>
    </row>
    <row r="86" s="52" customFormat="1" ht="13.5" spans="1:85">
      <c r="A86" s="61" t="s">
        <v>33</v>
      </c>
      <c r="B86" s="61" t="s">
        <v>598</v>
      </c>
      <c r="C86" s="61">
        <v>14150</v>
      </c>
      <c r="D86" s="61"/>
      <c r="E86" s="61" t="s">
        <v>599</v>
      </c>
      <c r="F86" s="61" t="b">
        <f>IF(COUNTIF(按提示输入属性!D12,E86)&gt;0,TRUE,FALSE)</f>
        <v>0</v>
      </c>
      <c r="G86" s="61"/>
      <c r="H86" s="61"/>
      <c r="I86" s="61"/>
      <c r="J86" s="61"/>
      <c r="K86" s="61">
        <v>988</v>
      </c>
      <c r="L86" s="61">
        <f>INT(K86*F342)</f>
        <v>1062</v>
      </c>
      <c r="M86" s="61">
        <v>1923</v>
      </c>
      <c r="N86" s="61">
        <f>INT(M86*F342)</f>
        <v>2067</v>
      </c>
      <c r="O86" s="61">
        <v>4958</v>
      </c>
      <c r="P86" s="61">
        <f>INT(O86*F342)</f>
        <v>5331</v>
      </c>
      <c r="Q86" s="61">
        <v>0</v>
      </c>
      <c r="R86" s="61">
        <f>INT(Q86*F342)</f>
        <v>0</v>
      </c>
      <c r="S86" s="61">
        <v>0</v>
      </c>
      <c r="T86" s="61">
        <f>INT(S86*F342)</f>
        <v>0</v>
      </c>
      <c r="U86" s="61">
        <v>0</v>
      </c>
      <c r="V86" s="61">
        <f>INT(U86*F342)</f>
        <v>0</v>
      </c>
      <c r="W86" s="61">
        <v>4407</v>
      </c>
      <c r="X86" s="61">
        <f>INT(W86*F342)</f>
        <v>4738</v>
      </c>
      <c r="Y86" s="61">
        <v>0</v>
      </c>
      <c r="Z86" s="61">
        <v>0</v>
      </c>
      <c r="AA86" s="61">
        <v>0</v>
      </c>
      <c r="AB86" s="61">
        <v>0</v>
      </c>
      <c r="AC86" s="61">
        <v>0</v>
      </c>
      <c r="AD86" s="61">
        <v>1</v>
      </c>
      <c r="AE86" s="61">
        <v>0</v>
      </c>
      <c r="AF86" s="61">
        <v>0</v>
      </c>
      <c r="AG86" s="61">
        <v>1</v>
      </c>
      <c r="AH86" s="61">
        <v>0</v>
      </c>
      <c r="AI86" s="61">
        <v>0</v>
      </c>
      <c r="AJ86" s="61"/>
      <c r="AK86" s="61">
        <v>1</v>
      </c>
      <c r="AL86" s="61"/>
      <c r="AM86" s="61"/>
      <c r="AN86" s="61"/>
      <c r="AO86" s="61"/>
      <c r="AP86" s="61" t="s">
        <v>460</v>
      </c>
      <c r="AQ86" s="61">
        <v>6</v>
      </c>
      <c r="AR86" s="61" t="s">
        <v>503</v>
      </c>
      <c r="AS86" s="61">
        <v>1</v>
      </c>
      <c r="AT86" s="61" t="s">
        <v>450</v>
      </c>
      <c r="AU86" s="61" t="s">
        <v>450</v>
      </c>
      <c r="AV86" s="61" t="s">
        <v>450</v>
      </c>
      <c r="AW86" s="61">
        <v>5095</v>
      </c>
      <c r="AX86" s="61">
        <v>0</v>
      </c>
      <c r="AY86" s="61">
        <v>0</v>
      </c>
      <c r="AZ86" s="61">
        <v>0</v>
      </c>
      <c r="BA86" s="61" t="s">
        <v>451</v>
      </c>
      <c r="BB86" s="61" t="s">
        <v>452</v>
      </c>
      <c r="BC86" s="61" t="s">
        <v>453</v>
      </c>
      <c r="BD86" s="61" t="s">
        <v>461</v>
      </c>
      <c r="BE86" s="61" t="s">
        <v>462</v>
      </c>
      <c r="BF86" s="61" t="s">
        <v>456</v>
      </c>
      <c r="BG86" s="61" t="s">
        <v>456</v>
      </c>
      <c r="BH86" s="61" t="s">
        <v>456</v>
      </c>
      <c r="BI86" s="61" t="s">
        <v>456</v>
      </c>
      <c r="BJ86" s="61" t="s">
        <v>456</v>
      </c>
      <c r="BK86" s="61" t="s">
        <v>456</v>
      </c>
      <c r="BL86" s="61" t="s">
        <v>456</v>
      </c>
      <c r="BM86" s="61">
        <v>3516</v>
      </c>
      <c r="BN86" s="61">
        <v>682</v>
      </c>
      <c r="BO86" s="61">
        <v>1327</v>
      </c>
      <c r="BP86" s="61">
        <v>3421</v>
      </c>
      <c r="BQ86" s="61">
        <v>3041</v>
      </c>
      <c r="BR86" s="61">
        <v>0</v>
      </c>
      <c r="BS86" s="61">
        <v>0</v>
      </c>
      <c r="BT86" s="61">
        <v>0</v>
      </c>
      <c r="BU86" s="61">
        <v>0</v>
      </c>
      <c r="BV86" s="61">
        <v>0</v>
      </c>
      <c r="BW86" s="61">
        <v>0</v>
      </c>
      <c r="BX86" s="61">
        <v>0</v>
      </c>
      <c r="BY86" s="61" t="s">
        <v>452</v>
      </c>
      <c r="BZ86" s="61" t="s">
        <v>462</v>
      </c>
      <c r="CA86" s="61" t="s">
        <v>456</v>
      </c>
      <c r="CB86" s="66"/>
      <c r="CC86" s="61">
        <v>2</v>
      </c>
      <c r="CD86" s="61">
        <v>2</v>
      </c>
      <c r="CE86" s="61">
        <v>0</v>
      </c>
      <c r="CF86" s="61"/>
      <c r="CG86" s="61" t="s">
        <v>449</v>
      </c>
    </row>
    <row r="87" s="52" customFormat="1" ht="13.5" spans="1:85">
      <c r="A87" s="61" t="s">
        <v>33</v>
      </c>
      <c r="B87" s="61" t="s">
        <v>600</v>
      </c>
      <c r="C87" s="61">
        <v>13950</v>
      </c>
      <c r="D87" s="61"/>
      <c r="E87" s="61" t="s">
        <v>601</v>
      </c>
      <c r="F87" s="61" t="b">
        <f>IF(COUNTIF(按提示输入属性!D12,E87)&gt;0,TRUE,FALSE)</f>
        <v>0</v>
      </c>
      <c r="G87" s="61"/>
      <c r="H87" s="61"/>
      <c r="I87" s="61"/>
      <c r="J87" s="61"/>
      <c r="K87" s="61">
        <v>974</v>
      </c>
      <c r="L87" s="61">
        <f>INT(K87*F342)</f>
        <v>1047</v>
      </c>
      <c r="M87" s="61">
        <v>1896</v>
      </c>
      <c r="N87" s="61">
        <f>INT(M87*F342)</f>
        <v>2038</v>
      </c>
      <c r="O87" s="61">
        <v>0</v>
      </c>
      <c r="P87" s="61">
        <f>INT(O87*F342)</f>
        <v>0</v>
      </c>
      <c r="Q87" s="61">
        <v>0</v>
      </c>
      <c r="R87" s="61">
        <f>INT(Q87*F342)</f>
        <v>0</v>
      </c>
      <c r="S87" s="61">
        <v>0</v>
      </c>
      <c r="T87" s="61">
        <f>INT(S87*F342)</f>
        <v>0</v>
      </c>
      <c r="U87" s="61">
        <v>0</v>
      </c>
      <c r="V87" s="61">
        <f>INT(U87*F342)</f>
        <v>0</v>
      </c>
      <c r="W87" s="61">
        <v>4344</v>
      </c>
      <c r="X87" s="61">
        <f>INT(W87*F342)</f>
        <v>4670</v>
      </c>
      <c r="Y87" s="61">
        <v>4888</v>
      </c>
      <c r="Z87" s="61">
        <v>0</v>
      </c>
      <c r="AA87" s="61">
        <v>0</v>
      </c>
      <c r="AB87" s="61">
        <v>0</v>
      </c>
      <c r="AC87" s="61">
        <v>0</v>
      </c>
      <c r="AD87" s="61">
        <v>1</v>
      </c>
      <c r="AE87" s="61">
        <v>0</v>
      </c>
      <c r="AF87" s="61">
        <v>0</v>
      </c>
      <c r="AG87" s="61">
        <v>1</v>
      </c>
      <c r="AH87" s="61">
        <v>0</v>
      </c>
      <c r="AI87" s="61">
        <v>0</v>
      </c>
      <c r="AJ87" s="61"/>
      <c r="AK87" s="61"/>
      <c r="AL87" s="61"/>
      <c r="AM87" s="61"/>
      <c r="AN87" s="61"/>
      <c r="AO87" s="61"/>
      <c r="AP87" s="61" t="s">
        <v>602</v>
      </c>
      <c r="AQ87" s="61">
        <v>6</v>
      </c>
      <c r="AR87" s="61" t="s">
        <v>449</v>
      </c>
      <c r="AS87" s="61">
        <v>1</v>
      </c>
      <c r="AT87" s="61" t="s">
        <v>450</v>
      </c>
      <c r="AU87" s="61" t="s">
        <v>450</v>
      </c>
      <c r="AV87" s="61" t="s">
        <v>450</v>
      </c>
      <c r="AW87" s="61">
        <v>5023</v>
      </c>
      <c r="AX87" s="61">
        <v>0</v>
      </c>
      <c r="AY87" s="61">
        <v>0</v>
      </c>
      <c r="AZ87" s="61">
        <v>0</v>
      </c>
      <c r="BA87" s="61" t="s">
        <v>451</v>
      </c>
      <c r="BB87" s="61" t="s">
        <v>452</v>
      </c>
      <c r="BC87" s="61" t="s">
        <v>453</v>
      </c>
      <c r="BD87" s="61" t="s">
        <v>454</v>
      </c>
      <c r="BE87" s="61" t="s">
        <v>455</v>
      </c>
      <c r="BF87" s="61" t="s">
        <v>456</v>
      </c>
      <c r="BG87" s="61" t="s">
        <v>456</v>
      </c>
      <c r="BH87" s="61" t="s">
        <v>456</v>
      </c>
      <c r="BI87" s="61" t="s">
        <v>456</v>
      </c>
      <c r="BJ87" s="61" t="s">
        <v>456</v>
      </c>
      <c r="BK87" s="61" t="s">
        <v>456</v>
      </c>
      <c r="BL87" s="61" t="s">
        <v>456</v>
      </c>
      <c r="BM87" s="61">
        <v>5023</v>
      </c>
      <c r="BN87" s="61">
        <v>974</v>
      </c>
      <c r="BO87" s="61">
        <v>1896</v>
      </c>
      <c r="BP87" s="61">
        <v>4888</v>
      </c>
      <c r="BQ87" s="61">
        <v>4344</v>
      </c>
      <c r="BR87" s="61">
        <v>0</v>
      </c>
      <c r="BS87" s="61">
        <v>0</v>
      </c>
      <c r="BT87" s="61">
        <v>0</v>
      </c>
      <c r="BU87" s="61">
        <v>0</v>
      </c>
      <c r="BV87" s="61">
        <v>0</v>
      </c>
      <c r="BW87" s="61">
        <v>0</v>
      </c>
      <c r="BX87" s="61">
        <v>0</v>
      </c>
      <c r="BY87" s="61" t="s">
        <v>454</v>
      </c>
      <c r="BZ87" s="61" t="s">
        <v>455</v>
      </c>
      <c r="CA87" s="61" t="s">
        <v>456</v>
      </c>
      <c r="CB87" s="66"/>
      <c r="CC87" s="61">
        <v>2</v>
      </c>
      <c r="CD87" s="61">
        <v>2</v>
      </c>
      <c r="CE87" s="61">
        <v>0</v>
      </c>
      <c r="CF87" s="61"/>
      <c r="CG87" s="61" t="s">
        <v>449</v>
      </c>
    </row>
    <row r="88" s="52" customFormat="1" ht="13.5" spans="1:85">
      <c r="A88" s="61" t="s">
        <v>33</v>
      </c>
      <c r="B88" s="61" t="s">
        <v>603</v>
      </c>
      <c r="C88" s="61">
        <v>13950</v>
      </c>
      <c r="D88" s="61"/>
      <c r="E88" s="61" t="s">
        <v>604</v>
      </c>
      <c r="F88" s="61" t="b">
        <f>IF(COUNTIF(按提示输入属性!D12,E88)&gt;0,TRUE,FALSE)</f>
        <v>0</v>
      </c>
      <c r="G88" s="61"/>
      <c r="H88" s="61"/>
      <c r="I88" s="61"/>
      <c r="J88" s="61"/>
      <c r="K88" s="61">
        <v>974</v>
      </c>
      <c r="L88" s="61">
        <f>INT(K88*F342)</f>
        <v>1047</v>
      </c>
      <c r="M88" s="61">
        <v>1896</v>
      </c>
      <c r="N88" s="61">
        <f>INT(M88*F342)</f>
        <v>2038</v>
      </c>
      <c r="O88" s="61">
        <v>0</v>
      </c>
      <c r="P88" s="61">
        <f>INT(O88*F342)</f>
        <v>0</v>
      </c>
      <c r="Q88" s="61">
        <v>0</v>
      </c>
      <c r="R88" s="61">
        <f>INT(Q88*F342)</f>
        <v>0</v>
      </c>
      <c r="S88" s="61">
        <v>4888</v>
      </c>
      <c r="T88" s="61">
        <f>INT(S88*F342)</f>
        <v>5255</v>
      </c>
      <c r="U88" s="61">
        <v>4344</v>
      </c>
      <c r="V88" s="61">
        <f>INT(U88*F342)</f>
        <v>4670</v>
      </c>
      <c r="W88" s="61">
        <v>0</v>
      </c>
      <c r="X88" s="61">
        <f>INT(W88*F342)</f>
        <v>0</v>
      </c>
      <c r="Y88" s="61">
        <v>0</v>
      </c>
      <c r="Z88" s="61">
        <v>0</v>
      </c>
      <c r="AA88" s="61">
        <v>0</v>
      </c>
      <c r="AB88" s="61">
        <v>0</v>
      </c>
      <c r="AC88" s="61">
        <v>0</v>
      </c>
      <c r="AD88" s="61">
        <v>0</v>
      </c>
      <c r="AE88" s="61">
        <v>0</v>
      </c>
      <c r="AF88" s="61">
        <v>1</v>
      </c>
      <c r="AG88" s="61">
        <v>1</v>
      </c>
      <c r="AH88" s="61">
        <v>0</v>
      </c>
      <c r="AI88" s="61">
        <v>0</v>
      </c>
      <c r="AJ88" s="61"/>
      <c r="AK88" s="61"/>
      <c r="AL88" s="61"/>
      <c r="AM88" s="61"/>
      <c r="AN88" s="61"/>
      <c r="AO88" s="61"/>
      <c r="AP88" s="61" t="s">
        <v>465</v>
      </c>
      <c r="AQ88" s="61">
        <v>6</v>
      </c>
      <c r="AR88" s="61" t="s">
        <v>449</v>
      </c>
      <c r="AS88" s="61">
        <v>1</v>
      </c>
      <c r="AT88" s="61" t="s">
        <v>450</v>
      </c>
      <c r="AU88" s="61" t="s">
        <v>450</v>
      </c>
      <c r="AV88" s="61" t="s">
        <v>450</v>
      </c>
      <c r="AW88" s="61">
        <v>5023</v>
      </c>
      <c r="AX88" s="61">
        <v>0</v>
      </c>
      <c r="AY88" s="61">
        <v>0</v>
      </c>
      <c r="AZ88" s="61">
        <v>0</v>
      </c>
      <c r="BA88" s="61" t="s">
        <v>451</v>
      </c>
      <c r="BB88" s="61" t="s">
        <v>452</v>
      </c>
      <c r="BC88" s="61" t="s">
        <v>453</v>
      </c>
      <c r="BD88" s="61" t="s">
        <v>587</v>
      </c>
      <c r="BE88" s="61" t="s">
        <v>455</v>
      </c>
      <c r="BF88" s="61" t="s">
        <v>456</v>
      </c>
      <c r="BG88" s="61" t="s">
        <v>456</v>
      </c>
      <c r="BH88" s="61" t="s">
        <v>456</v>
      </c>
      <c r="BI88" s="61" t="s">
        <v>456</v>
      </c>
      <c r="BJ88" s="61" t="s">
        <v>456</v>
      </c>
      <c r="BK88" s="61" t="s">
        <v>456</v>
      </c>
      <c r="BL88" s="61" t="s">
        <v>456</v>
      </c>
      <c r="BM88" s="61">
        <v>4521</v>
      </c>
      <c r="BN88" s="61">
        <v>877</v>
      </c>
      <c r="BO88" s="61">
        <v>1707</v>
      </c>
      <c r="BP88" s="61">
        <v>4399</v>
      </c>
      <c r="BQ88" s="61">
        <v>3910</v>
      </c>
      <c r="BR88" s="61">
        <v>0</v>
      </c>
      <c r="BS88" s="61">
        <v>0</v>
      </c>
      <c r="BT88" s="61">
        <v>0</v>
      </c>
      <c r="BU88" s="61">
        <v>0</v>
      </c>
      <c r="BV88" s="61">
        <v>0</v>
      </c>
      <c r="BW88" s="61">
        <v>0</v>
      </c>
      <c r="BX88" s="61">
        <v>0</v>
      </c>
      <c r="BY88" s="61" t="s">
        <v>454</v>
      </c>
      <c r="BZ88" s="61" t="s">
        <v>452</v>
      </c>
      <c r="CA88" s="61" t="s">
        <v>456</v>
      </c>
      <c r="CB88" s="66"/>
      <c r="CC88" s="61">
        <v>2</v>
      </c>
      <c r="CD88" s="61">
        <v>2</v>
      </c>
      <c r="CE88" s="61">
        <v>0</v>
      </c>
      <c r="CF88" s="61"/>
      <c r="CG88" s="61" t="s">
        <v>449</v>
      </c>
    </row>
    <row r="89" s="53" customFormat="1" ht="13.5" spans="1:85">
      <c r="A89" s="62" t="s">
        <v>33</v>
      </c>
      <c r="B89" s="62" t="s">
        <v>605</v>
      </c>
      <c r="C89" s="62">
        <v>13950</v>
      </c>
      <c r="D89" s="62"/>
      <c r="E89" s="62" t="s">
        <v>606</v>
      </c>
      <c r="F89" s="62" t="b">
        <f>IF(COUNTIF(按提示输入属性!D12,E89)&gt;0,TRUE,FALSE)</f>
        <v>0</v>
      </c>
      <c r="G89" s="62"/>
      <c r="H89" s="62"/>
      <c r="I89" s="62"/>
      <c r="J89" s="62"/>
      <c r="K89" s="62">
        <v>0</v>
      </c>
      <c r="L89" s="62">
        <f>INT(K89*F342)</f>
        <v>0</v>
      </c>
      <c r="M89" s="62">
        <v>4959</v>
      </c>
      <c r="N89" s="62">
        <f>INT(M89*F344)</f>
        <v>5078</v>
      </c>
      <c r="O89" s="62">
        <v>0</v>
      </c>
      <c r="P89" s="61">
        <f>INT(O89*F344)</f>
        <v>0</v>
      </c>
      <c r="Q89" s="62">
        <v>0</v>
      </c>
      <c r="R89" s="61">
        <f>INT(Q89*F344)</f>
        <v>0</v>
      </c>
      <c r="S89" s="62">
        <v>9639</v>
      </c>
      <c r="T89" s="61">
        <f>INT(S89*F344)</f>
        <v>9871</v>
      </c>
      <c r="U89" s="62">
        <v>0</v>
      </c>
      <c r="V89" s="61">
        <f>INT(U89*F344)</f>
        <v>0</v>
      </c>
      <c r="W89" s="62">
        <v>0</v>
      </c>
      <c r="X89" s="61">
        <f>INT(W89*F344)</f>
        <v>0</v>
      </c>
      <c r="Y89" s="62">
        <v>0</v>
      </c>
      <c r="Z89" s="62">
        <v>0</v>
      </c>
      <c r="AA89" s="62">
        <v>0</v>
      </c>
      <c r="AB89" s="62">
        <v>0</v>
      </c>
      <c r="AC89" s="62">
        <v>1</v>
      </c>
      <c r="AD89" s="62">
        <v>0</v>
      </c>
      <c r="AE89" s="62">
        <v>0</v>
      </c>
      <c r="AF89" s="62">
        <v>0</v>
      </c>
      <c r="AG89" s="62">
        <v>1</v>
      </c>
      <c r="AH89" s="62">
        <v>0</v>
      </c>
      <c r="AI89" s="62">
        <v>0</v>
      </c>
      <c r="AJ89" s="62"/>
      <c r="AK89" s="62"/>
      <c r="AL89" s="62"/>
      <c r="AM89" s="62"/>
      <c r="AN89" s="62"/>
      <c r="AO89" s="62"/>
      <c r="AP89" s="62" t="s">
        <v>479</v>
      </c>
      <c r="AQ89" s="62">
        <v>3</v>
      </c>
      <c r="AR89" s="62" t="s">
        <v>449</v>
      </c>
      <c r="AS89" s="62">
        <v>1</v>
      </c>
      <c r="AT89" s="62" t="s">
        <v>450</v>
      </c>
      <c r="AU89" s="62" t="s">
        <v>450</v>
      </c>
      <c r="AV89" s="62" t="s">
        <v>450</v>
      </c>
      <c r="AW89" s="62">
        <v>0</v>
      </c>
      <c r="AX89" s="62">
        <v>0</v>
      </c>
      <c r="AY89" s="62">
        <v>0</v>
      </c>
      <c r="AZ89" s="62">
        <v>0</v>
      </c>
      <c r="BA89" s="62" t="s">
        <v>451</v>
      </c>
      <c r="BB89" s="62" t="s">
        <v>452</v>
      </c>
      <c r="BC89" s="62" t="s">
        <v>453</v>
      </c>
      <c r="BD89" s="62" t="s">
        <v>461</v>
      </c>
      <c r="BE89" s="62" t="s">
        <v>455</v>
      </c>
      <c r="BF89" s="62" t="s">
        <v>456</v>
      </c>
      <c r="BG89" s="62" t="s">
        <v>456</v>
      </c>
      <c r="BH89" s="62" t="s">
        <v>456</v>
      </c>
      <c r="BI89" s="62" t="s">
        <v>456</v>
      </c>
      <c r="BJ89" s="62" t="s">
        <v>456</v>
      </c>
      <c r="BK89" s="62" t="s">
        <v>456</v>
      </c>
      <c r="BL89" s="62" t="s">
        <v>456</v>
      </c>
      <c r="BM89" s="62">
        <v>5023</v>
      </c>
      <c r="BN89" s="62">
        <v>974</v>
      </c>
      <c r="BO89" s="62">
        <v>1896</v>
      </c>
      <c r="BP89" s="62">
        <v>4888</v>
      </c>
      <c r="BQ89" s="62">
        <v>4344</v>
      </c>
      <c r="BR89" s="62">
        <v>0</v>
      </c>
      <c r="BS89" s="62">
        <v>0</v>
      </c>
      <c r="BT89" s="62">
        <v>0</v>
      </c>
      <c r="BU89" s="62">
        <v>0</v>
      </c>
      <c r="BV89" s="62">
        <v>0</v>
      </c>
      <c r="BW89" s="62">
        <v>0</v>
      </c>
      <c r="BX89" s="62">
        <v>0</v>
      </c>
      <c r="BY89" s="62" t="s">
        <v>453</v>
      </c>
      <c r="BZ89" s="62" t="s">
        <v>461</v>
      </c>
      <c r="CA89" s="62" t="s">
        <v>456</v>
      </c>
      <c r="CB89" s="64"/>
      <c r="CC89" s="62">
        <v>2</v>
      </c>
      <c r="CD89" s="62">
        <v>2</v>
      </c>
      <c r="CE89" s="62">
        <v>0</v>
      </c>
      <c r="CF89" s="62"/>
      <c r="CG89" s="62" t="s">
        <v>449</v>
      </c>
    </row>
    <row r="90" s="53" customFormat="1" ht="13.5" spans="1:85">
      <c r="A90" s="62" t="s">
        <v>33</v>
      </c>
      <c r="B90" s="62" t="s">
        <v>607</v>
      </c>
      <c r="C90" s="62">
        <v>13950</v>
      </c>
      <c r="D90" s="62"/>
      <c r="E90" s="62" t="s">
        <v>608</v>
      </c>
      <c r="F90" s="62" t="b">
        <f>IF(COUNTIF(按提示输入属性!D12,E90)&gt;0,TRUE,FALSE)</f>
        <v>0</v>
      </c>
      <c r="G90" s="62"/>
      <c r="H90" s="62"/>
      <c r="I90" s="62"/>
      <c r="J90" s="62"/>
      <c r="K90" s="62">
        <v>0</v>
      </c>
      <c r="L90" s="62">
        <f>INT(K90*F342)</f>
        <v>0</v>
      </c>
      <c r="M90" s="62">
        <v>4230</v>
      </c>
      <c r="N90" s="62">
        <f>INT(M90*F344)</f>
        <v>4332</v>
      </c>
      <c r="O90" s="62">
        <v>5431</v>
      </c>
      <c r="P90" s="62">
        <f>INT(O90*F344)</f>
        <v>5561</v>
      </c>
      <c r="Q90" s="62">
        <v>0</v>
      </c>
      <c r="R90" s="62">
        <f>INT(Q90*F344)</f>
        <v>0</v>
      </c>
      <c r="S90" s="62">
        <v>0</v>
      </c>
      <c r="T90" s="62">
        <f>INT(S90*F344)</f>
        <v>0</v>
      </c>
      <c r="U90" s="62">
        <v>5702</v>
      </c>
      <c r="V90" s="62">
        <f>INT(U90*F344)</f>
        <v>5839</v>
      </c>
      <c r="W90" s="62">
        <v>0</v>
      </c>
      <c r="X90" s="62">
        <f>INT(W90*F344)</f>
        <v>0</v>
      </c>
      <c r="Y90" s="62">
        <v>0</v>
      </c>
      <c r="Z90" s="62">
        <v>0</v>
      </c>
      <c r="AA90" s="62">
        <v>0</v>
      </c>
      <c r="AB90" s="62">
        <v>0</v>
      </c>
      <c r="AC90" s="62">
        <v>0</v>
      </c>
      <c r="AD90" s="62">
        <v>0</v>
      </c>
      <c r="AE90" s="62">
        <v>1</v>
      </c>
      <c r="AF90" s="62">
        <v>0</v>
      </c>
      <c r="AG90" s="62">
        <v>1</v>
      </c>
      <c r="AH90" s="62">
        <v>0</v>
      </c>
      <c r="AI90" s="62">
        <v>0</v>
      </c>
      <c r="AJ90" s="62"/>
      <c r="AK90" s="62"/>
      <c r="AL90" s="62"/>
      <c r="AM90" s="62"/>
      <c r="AN90" s="62"/>
      <c r="AO90" s="62"/>
      <c r="AP90" s="62" t="s">
        <v>609</v>
      </c>
      <c r="AQ90" s="62">
        <v>3</v>
      </c>
      <c r="AR90" s="62" t="s">
        <v>449</v>
      </c>
      <c r="AS90" s="62">
        <v>1</v>
      </c>
      <c r="AT90" s="62" t="s">
        <v>450</v>
      </c>
      <c r="AU90" s="62" t="s">
        <v>450</v>
      </c>
      <c r="AV90" s="62" t="s">
        <v>450</v>
      </c>
      <c r="AW90" s="62">
        <v>0</v>
      </c>
      <c r="AX90" s="62">
        <v>0</v>
      </c>
      <c r="AY90" s="62">
        <v>0</v>
      </c>
      <c r="AZ90" s="62">
        <v>0</v>
      </c>
      <c r="BA90" s="62" t="s">
        <v>453</v>
      </c>
      <c r="BB90" s="62" t="s">
        <v>487</v>
      </c>
      <c r="BC90" s="62" t="s">
        <v>456</v>
      </c>
      <c r="BD90" s="62" t="s">
        <v>456</v>
      </c>
      <c r="BE90" s="62" t="s">
        <v>456</v>
      </c>
      <c r="BF90" s="62" t="s">
        <v>456</v>
      </c>
      <c r="BG90" s="62" t="s">
        <v>456</v>
      </c>
      <c r="BH90" s="62" t="s">
        <v>456</v>
      </c>
      <c r="BI90" s="62" t="s">
        <v>456</v>
      </c>
      <c r="BJ90" s="62" t="s">
        <v>456</v>
      </c>
      <c r="BK90" s="62" t="s">
        <v>456</v>
      </c>
      <c r="BL90" s="62" t="s">
        <v>456</v>
      </c>
      <c r="BM90" s="62">
        <v>3472</v>
      </c>
      <c r="BN90" s="62">
        <v>6748</v>
      </c>
      <c r="BO90" s="62">
        <v>0</v>
      </c>
      <c r="BP90" s="62">
        <v>0</v>
      </c>
      <c r="BQ90" s="62">
        <v>0</v>
      </c>
      <c r="BR90" s="62">
        <v>0</v>
      </c>
      <c r="BS90" s="62">
        <v>0</v>
      </c>
      <c r="BT90" s="62">
        <v>0</v>
      </c>
      <c r="BU90" s="62">
        <v>0</v>
      </c>
      <c r="BV90" s="62">
        <v>0</v>
      </c>
      <c r="BW90" s="62">
        <v>0</v>
      </c>
      <c r="BX90" s="62">
        <v>0</v>
      </c>
      <c r="BY90" s="62" t="s">
        <v>490</v>
      </c>
      <c r="BZ90" s="62" t="s">
        <v>487</v>
      </c>
      <c r="CA90" s="62" t="s">
        <v>456</v>
      </c>
      <c r="CB90" s="64"/>
      <c r="CC90" s="62">
        <v>2</v>
      </c>
      <c r="CD90" s="62">
        <v>2</v>
      </c>
      <c r="CE90" s="62">
        <v>0</v>
      </c>
      <c r="CF90" s="62"/>
      <c r="CG90" s="62" t="s">
        <v>449</v>
      </c>
    </row>
    <row r="91" s="53" customFormat="1" ht="13.5" spans="1:85">
      <c r="A91" s="62" t="s">
        <v>33</v>
      </c>
      <c r="B91" s="62" t="s">
        <v>610</v>
      </c>
      <c r="C91" s="62">
        <v>13950</v>
      </c>
      <c r="D91" s="62"/>
      <c r="E91" s="62" t="s">
        <v>34</v>
      </c>
      <c r="F91" s="62" t="b">
        <f>IF(COUNTIF(按提示输入属性!D12,E91)&gt;0,TRUE,FALSE)</f>
        <v>1</v>
      </c>
      <c r="G91" s="62"/>
      <c r="H91" s="62"/>
      <c r="I91" s="62"/>
      <c r="J91" s="62"/>
      <c r="K91" s="62">
        <v>0</v>
      </c>
      <c r="L91" s="62">
        <f>INT(K91*F342)</f>
        <v>0</v>
      </c>
      <c r="M91" s="62">
        <v>4230</v>
      </c>
      <c r="N91" s="62">
        <f>INT(M91*F344)</f>
        <v>4332</v>
      </c>
      <c r="O91" s="62">
        <v>0</v>
      </c>
      <c r="P91" s="61">
        <f>INT(O91*F344)</f>
        <v>0</v>
      </c>
      <c r="Q91" s="62">
        <v>0</v>
      </c>
      <c r="R91" s="61">
        <f>INT(Q91*F344)</f>
        <v>0</v>
      </c>
      <c r="S91" s="62">
        <v>4616</v>
      </c>
      <c r="T91" s="61">
        <f>INT(S91*F344)</f>
        <v>4727</v>
      </c>
      <c r="U91" s="62">
        <v>3801</v>
      </c>
      <c r="V91" s="61">
        <f>INT(U91*F344)</f>
        <v>3892</v>
      </c>
      <c r="W91" s="62">
        <v>2715</v>
      </c>
      <c r="X91" s="61">
        <f>INT(W91*F344)</f>
        <v>2780</v>
      </c>
      <c r="Y91" s="62">
        <v>0</v>
      </c>
      <c r="Z91" s="62">
        <v>0</v>
      </c>
      <c r="AA91" s="62">
        <v>0</v>
      </c>
      <c r="AB91" s="62">
        <v>0</v>
      </c>
      <c r="AC91" s="62">
        <v>0</v>
      </c>
      <c r="AD91" s="62">
        <v>1</v>
      </c>
      <c r="AE91" s="62">
        <v>0</v>
      </c>
      <c r="AF91" s="62">
        <v>0</v>
      </c>
      <c r="AG91" s="62">
        <v>0</v>
      </c>
      <c r="AH91" s="62">
        <v>1</v>
      </c>
      <c r="AI91" s="62">
        <v>0</v>
      </c>
      <c r="AJ91" s="62"/>
      <c r="AK91" s="62"/>
      <c r="AL91" s="62"/>
      <c r="AM91" s="62"/>
      <c r="AN91" s="62"/>
      <c r="AO91" s="62"/>
      <c r="AP91" s="62" t="s">
        <v>611</v>
      </c>
      <c r="AQ91" s="62">
        <v>3</v>
      </c>
      <c r="AR91" s="62" t="s">
        <v>449</v>
      </c>
      <c r="AS91" s="62">
        <v>1</v>
      </c>
      <c r="AT91" s="62" t="s">
        <v>450</v>
      </c>
      <c r="AU91" s="62" t="s">
        <v>450</v>
      </c>
      <c r="AV91" s="62" t="s">
        <v>450</v>
      </c>
      <c r="AW91" s="62">
        <v>0</v>
      </c>
      <c r="AX91" s="62">
        <v>0</v>
      </c>
      <c r="AY91" s="62">
        <v>0</v>
      </c>
      <c r="AZ91" s="62">
        <v>0</v>
      </c>
      <c r="BA91" s="62" t="s">
        <v>453</v>
      </c>
      <c r="BB91" s="62" t="s">
        <v>455</v>
      </c>
      <c r="BC91" s="62" t="s">
        <v>454</v>
      </c>
      <c r="BD91" s="62" t="s">
        <v>456</v>
      </c>
      <c r="BE91" s="62" t="s">
        <v>456</v>
      </c>
      <c r="BF91" s="62" t="s">
        <v>456</v>
      </c>
      <c r="BG91" s="62" t="s">
        <v>456</v>
      </c>
      <c r="BH91" s="62" t="s">
        <v>456</v>
      </c>
      <c r="BI91" s="62" t="s">
        <v>456</v>
      </c>
      <c r="BJ91" s="62" t="s">
        <v>456</v>
      </c>
      <c r="BK91" s="62" t="s">
        <v>456</v>
      </c>
      <c r="BL91" s="62" t="s">
        <v>456</v>
      </c>
      <c r="BM91" s="62">
        <v>2961</v>
      </c>
      <c r="BN91" s="62">
        <v>3801</v>
      </c>
      <c r="BO91" s="62">
        <v>3991</v>
      </c>
      <c r="BP91" s="62">
        <v>0</v>
      </c>
      <c r="BQ91" s="62">
        <v>0</v>
      </c>
      <c r="BR91" s="62">
        <v>0</v>
      </c>
      <c r="BS91" s="62">
        <v>0</v>
      </c>
      <c r="BT91" s="62">
        <v>0</v>
      </c>
      <c r="BU91" s="62">
        <v>0</v>
      </c>
      <c r="BV91" s="62">
        <v>0</v>
      </c>
      <c r="BW91" s="62">
        <v>0</v>
      </c>
      <c r="BX91" s="62">
        <v>0</v>
      </c>
      <c r="BY91" s="62" t="s">
        <v>487</v>
      </c>
      <c r="BZ91" s="62" t="s">
        <v>455</v>
      </c>
      <c r="CA91" s="62" t="s">
        <v>456</v>
      </c>
      <c r="CB91" s="64"/>
      <c r="CC91" s="62">
        <v>2</v>
      </c>
      <c r="CD91" s="62">
        <v>2</v>
      </c>
      <c r="CE91" s="62">
        <v>0</v>
      </c>
      <c r="CF91" s="62"/>
      <c r="CG91" s="62" t="s">
        <v>449</v>
      </c>
    </row>
    <row r="92" s="53" customFormat="1" ht="13.5" spans="1:85">
      <c r="A92" s="62" t="s">
        <v>33</v>
      </c>
      <c r="B92" s="62" t="s">
        <v>612</v>
      </c>
      <c r="C92" s="62">
        <v>13950</v>
      </c>
      <c r="D92" s="62"/>
      <c r="E92" s="62" t="s">
        <v>613</v>
      </c>
      <c r="F92" s="62" t="b">
        <f>IF(COUNTIF(按提示输入属性!D12,E92)&gt;0,TRUE,FALSE)</f>
        <v>0</v>
      </c>
      <c r="G92" s="62"/>
      <c r="H92" s="62"/>
      <c r="I92" s="62"/>
      <c r="J92" s="62"/>
      <c r="K92" s="62">
        <v>0</v>
      </c>
      <c r="L92" s="62">
        <f>INT(K92*F342)</f>
        <v>0</v>
      </c>
      <c r="M92" s="62">
        <v>4230</v>
      </c>
      <c r="N92" s="62">
        <f>INT(M92*F344)</f>
        <v>4332</v>
      </c>
      <c r="O92" s="62">
        <v>4344</v>
      </c>
      <c r="P92" s="62">
        <f>INT(O92*F344)</f>
        <v>4448</v>
      </c>
      <c r="Q92" s="62">
        <v>0</v>
      </c>
      <c r="R92" s="62">
        <f>INT(Q92*F344)</f>
        <v>0</v>
      </c>
      <c r="S92" s="62">
        <v>3801</v>
      </c>
      <c r="T92" s="62">
        <f>INT(S92*F344)</f>
        <v>3892</v>
      </c>
      <c r="U92" s="62">
        <v>0</v>
      </c>
      <c r="V92" s="62">
        <f>INT(U92*F344)</f>
        <v>0</v>
      </c>
      <c r="W92" s="62">
        <v>2987</v>
      </c>
      <c r="X92" s="62">
        <f>INT(W92*F344)</f>
        <v>3059</v>
      </c>
      <c r="Y92" s="62">
        <v>0</v>
      </c>
      <c r="Z92" s="62">
        <v>0</v>
      </c>
      <c r="AA92" s="62">
        <v>0</v>
      </c>
      <c r="AB92" s="62">
        <v>0</v>
      </c>
      <c r="AC92" s="62">
        <v>1</v>
      </c>
      <c r="AD92" s="62">
        <v>0</v>
      </c>
      <c r="AE92" s="62">
        <v>1</v>
      </c>
      <c r="AF92" s="62">
        <v>0</v>
      </c>
      <c r="AG92" s="62">
        <v>0</v>
      </c>
      <c r="AH92" s="62">
        <v>0</v>
      </c>
      <c r="AI92" s="62">
        <v>0</v>
      </c>
      <c r="AJ92" s="62"/>
      <c r="AK92" s="62"/>
      <c r="AL92" s="62"/>
      <c r="AM92" s="62"/>
      <c r="AN92" s="62"/>
      <c r="AO92" s="62"/>
      <c r="AP92" s="62" t="s">
        <v>614</v>
      </c>
      <c r="AQ92" s="62">
        <v>3</v>
      </c>
      <c r="AR92" s="62" t="s">
        <v>449</v>
      </c>
      <c r="AS92" s="62">
        <v>1</v>
      </c>
      <c r="AT92" s="62" t="s">
        <v>450</v>
      </c>
      <c r="AU92" s="62" t="s">
        <v>450</v>
      </c>
      <c r="AV92" s="62" t="s">
        <v>450</v>
      </c>
      <c r="AW92" s="62">
        <v>0</v>
      </c>
      <c r="AX92" s="62">
        <v>0</v>
      </c>
      <c r="AY92" s="62">
        <v>0</v>
      </c>
      <c r="AZ92" s="62">
        <v>0</v>
      </c>
      <c r="BA92" s="62" t="s">
        <v>453</v>
      </c>
      <c r="BB92" s="62" t="s">
        <v>455</v>
      </c>
      <c r="BC92" s="62" t="s">
        <v>487</v>
      </c>
      <c r="BD92" s="62" t="s">
        <v>462</v>
      </c>
      <c r="BE92" s="62" t="s">
        <v>456</v>
      </c>
      <c r="BF92" s="62" t="s">
        <v>456</v>
      </c>
      <c r="BG92" s="62" t="s">
        <v>456</v>
      </c>
      <c r="BH92" s="62" t="s">
        <v>456</v>
      </c>
      <c r="BI92" s="62" t="s">
        <v>456</v>
      </c>
      <c r="BJ92" s="62" t="s">
        <v>456</v>
      </c>
      <c r="BK92" s="62" t="s">
        <v>456</v>
      </c>
      <c r="BL92" s="62" t="s">
        <v>456</v>
      </c>
      <c r="BM92" s="62">
        <v>2961</v>
      </c>
      <c r="BN92" s="62">
        <v>2091</v>
      </c>
      <c r="BO92" s="62">
        <v>3611</v>
      </c>
      <c r="BP92" s="62">
        <v>2091</v>
      </c>
      <c r="BQ92" s="62">
        <v>0</v>
      </c>
      <c r="BR92" s="62">
        <v>0</v>
      </c>
      <c r="BS92" s="62">
        <v>0</v>
      </c>
      <c r="BT92" s="62">
        <v>0</v>
      </c>
      <c r="BU92" s="62">
        <v>0</v>
      </c>
      <c r="BV92" s="62">
        <v>0</v>
      </c>
      <c r="BW92" s="62">
        <v>0</v>
      </c>
      <c r="BX92" s="62">
        <v>0</v>
      </c>
      <c r="BY92" s="62" t="s">
        <v>454</v>
      </c>
      <c r="BZ92" s="62" t="s">
        <v>462</v>
      </c>
      <c r="CA92" s="62" t="s">
        <v>456</v>
      </c>
      <c r="CB92" s="64"/>
      <c r="CC92" s="62">
        <v>2</v>
      </c>
      <c r="CD92" s="62">
        <v>2</v>
      </c>
      <c r="CE92" s="62">
        <v>0</v>
      </c>
      <c r="CF92" s="62"/>
      <c r="CG92" s="62" t="s">
        <v>449</v>
      </c>
    </row>
    <row r="93" s="54" customFormat="1" ht="13.5" spans="1:85">
      <c r="A93" s="63" t="s">
        <v>33</v>
      </c>
      <c r="B93" s="63" t="s">
        <v>615</v>
      </c>
      <c r="C93" s="63">
        <v>13950</v>
      </c>
      <c r="D93" s="63"/>
      <c r="E93" s="63" t="s">
        <v>616</v>
      </c>
      <c r="F93" s="63" t="b">
        <f>IF(COUNTIF(按提示输入属性!D12,E93)&gt;0,TRUE,FALSE)</f>
        <v>0</v>
      </c>
      <c r="G93" s="63"/>
      <c r="H93" s="63"/>
      <c r="I93" s="63"/>
      <c r="J93" s="63"/>
      <c r="K93" s="63">
        <v>0</v>
      </c>
      <c r="L93" s="63">
        <f>INT(K93*F342)</f>
        <v>0</v>
      </c>
      <c r="M93" s="63">
        <v>4959</v>
      </c>
      <c r="N93" s="63">
        <f>INT(M93*F343)</f>
        <v>5147</v>
      </c>
      <c r="O93" s="63">
        <v>0</v>
      </c>
      <c r="P93" s="61">
        <f>INT(O93*F343)</f>
        <v>0</v>
      </c>
      <c r="Q93" s="63">
        <v>0</v>
      </c>
      <c r="R93" s="61">
        <f>INT(Q93*F342)</f>
        <v>0</v>
      </c>
      <c r="S93" s="63">
        <v>0</v>
      </c>
      <c r="T93" s="61">
        <f>INT(S93*F343)</f>
        <v>0</v>
      </c>
      <c r="U93" s="63">
        <v>0</v>
      </c>
      <c r="V93" s="61">
        <f>INT(U93*F343)</f>
        <v>0</v>
      </c>
      <c r="W93" s="63">
        <v>9096</v>
      </c>
      <c r="X93" s="61">
        <f>INT(W93*F343)</f>
        <v>9442</v>
      </c>
      <c r="Y93" s="63">
        <v>0</v>
      </c>
      <c r="Z93" s="63">
        <v>0</v>
      </c>
      <c r="AA93" s="63">
        <v>0</v>
      </c>
      <c r="AB93" s="63">
        <v>0</v>
      </c>
      <c r="AC93" s="63">
        <v>0</v>
      </c>
      <c r="AD93" s="63">
        <v>0</v>
      </c>
      <c r="AE93" s="63">
        <v>0</v>
      </c>
      <c r="AF93" s="63">
        <v>1</v>
      </c>
      <c r="AG93" s="63">
        <v>0</v>
      </c>
      <c r="AH93" s="63">
        <v>1</v>
      </c>
      <c r="AI93" s="63">
        <v>0</v>
      </c>
      <c r="AJ93" s="63"/>
      <c r="AK93" s="63"/>
      <c r="AL93" s="63"/>
      <c r="AM93" s="63"/>
      <c r="AN93" s="63"/>
      <c r="AO93" s="63"/>
      <c r="AP93" s="63" t="s">
        <v>519</v>
      </c>
      <c r="AQ93" s="63">
        <v>4</v>
      </c>
      <c r="AR93" s="63" t="s">
        <v>449</v>
      </c>
      <c r="AS93" s="63">
        <v>1</v>
      </c>
      <c r="AT93" s="63" t="s">
        <v>450</v>
      </c>
      <c r="AU93" s="63" t="s">
        <v>450</v>
      </c>
      <c r="AV93" s="63" t="s">
        <v>450</v>
      </c>
      <c r="AW93" s="63">
        <v>5023</v>
      </c>
      <c r="AX93" s="63">
        <v>0</v>
      </c>
      <c r="AY93" s="63">
        <v>0</v>
      </c>
      <c r="AZ93" s="63">
        <v>0</v>
      </c>
      <c r="BA93" s="63" t="s">
        <v>453</v>
      </c>
      <c r="BB93" s="63" t="s">
        <v>462</v>
      </c>
      <c r="BC93" s="63" t="s">
        <v>456</v>
      </c>
      <c r="BD93" s="63" t="s">
        <v>456</v>
      </c>
      <c r="BE93" s="63" t="s">
        <v>456</v>
      </c>
      <c r="BF93" s="63" t="s">
        <v>456</v>
      </c>
      <c r="BG93" s="63" t="s">
        <v>456</v>
      </c>
      <c r="BH93" s="63" t="s">
        <v>456</v>
      </c>
      <c r="BI93" s="63" t="s">
        <v>456</v>
      </c>
      <c r="BJ93" s="63" t="s">
        <v>456</v>
      </c>
      <c r="BK93" s="63" t="s">
        <v>456</v>
      </c>
      <c r="BL93" s="63" t="s">
        <v>456</v>
      </c>
      <c r="BM93" s="63">
        <v>3472</v>
      </c>
      <c r="BN93" s="63">
        <v>6748</v>
      </c>
      <c r="BO93" s="63">
        <v>0</v>
      </c>
      <c r="BP93" s="63">
        <v>0</v>
      </c>
      <c r="BQ93" s="63">
        <v>0</v>
      </c>
      <c r="BR93" s="63">
        <v>0</v>
      </c>
      <c r="BS93" s="63">
        <v>0</v>
      </c>
      <c r="BT93" s="63">
        <v>0</v>
      </c>
      <c r="BU93" s="63">
        <v>0</v>
      </c>
      <c r="BV93" s="63">
        <v>0</v>
      </c>
      <c r="BW93" s="63">
        <v>0</v>
      </c>
      <c r="BX93" s="63">
        <v>0</v>
      </c>
      <c r="BY93" s="63" t="s">
        <v>487</v>
      </c>
      <c r="BZ93" s="63" t="s">
        <v>462</v>
      </c>
      <c r="CA93" s="63" t="s">
        <v>456</v>
      </c>
      <c r="CB93" s="65"/>
      <c r="CC93" s="63">
        <v>2</v>
      </c>
      <c r="CD93" s="63">
        <v>2</v>
      </c>
      <c r="CE93" s="63">
        <v>0</v>
      </c>
      <c r="CF93" s="63"/>
      <c r="CG93" s="63" t="s">
        <v>449</v>
      </c>
    </row>
    <row r="94" s="54" customFormat="1" ht="13.5" spans="1:85">
      <c r="A94" s="63" t="s">
        <v>33</v>
      </c>
      <c r="B94" s="63" t="s">
        <v>617</v>
      </c>
      <c r="C94" s="63">
        <v>13950</v>
      </c>
      <c r="D94" s="63"/>
      <c r="E94" s="63" t="s">
        <v>618</v>
      </c>
      <c r="F94" s="63" t="b">
        <f>IF(COUNTIF(按提示输入属性!D12,E94)&gt;0,TRUE,FALSE)</f>
        <v>0</v>
      </c>
      <c r="G94" s="63"/>
      <c r="H94" s="63"/>
      <c r="I94" s="63"/>
      <c r="J94" s="63"/>
      <c r="K94" s="63">
        <v>0</v>
      </c>
      <c r="L94" s="63">
        <f>INT(K94*F342)</f>
        <v>0</v>
      </c>
      <c r="M94" s="63">
        <v>3501</v>
      </c>
      <c r="N94" s="63">
        <f>INT(M94*F343)</f>
        <v>3634</v>
      </c>
      <c r="O94" s="63">
        <v>3530</v>
      </c>
      <c r="P94" s="63">
        <f>INT(O94*F343)</f>
        <v>3664</v>
      </c>
      <c r="Q94" s="63">
        <v>0</v>
      </c>
      <c r="R94" s="63">
        <f>INT(Q94*F342)</f>
        <v>0</v>
      </c>
      <c r="S94" s="63">
        <v>0</v>
      </c>
      <c r="T94" s="63">
        <f>INT(S94*F343)</f>
        <v>0</v>
      </c>
      <c r="U94" s="63">
        <v>0</v>
      </c>
      <c r="V94" s="63">
        <f>INT(U94*F343)</f>
        <v>0</v>
      </c>
      <c r="W94" s="63">
        <v>8689</v>
      </c>
      <c r="X94" s="63">
        <f>INT(W94*F343)</f>
        <v>9019</v>
      </c>
      <c r="Y94" s="63">
        <v>0</v>
      </c>
      <c r="Z94" s="63">
        <v>0</v>
      </c>
      <c r="AA94" s="63">
        <v>0</v>
      </c>
      <c r="AB94" s="63">
        <v>0</v>
      </c>
      <c r="AC94" s="63">
        <v>1</v>
      </c>
      <c r="AD94" s="63">
        <v>0</v>
      </c>
      <c r="AE94" s="63">
        <v>0</v>
      </c>
      <c r="AF94" s="63">
        <v>0</v>
      </c>
      <c r="AG94" s="63">
        <v>1</v>
      </c>
      <c r="AH94" s="63">
        <v>0</v>
      </c>
      <c r="AI94" s="63">
        <v>0</v>
      </c>
      <c r="AJ94" s="63"/>
      <c r="AK94" s="63"/>
      <c r="AL94" s="63"/>
      <c r="AM94" s="63"/>
      <c r="AN94" s="63"/>
      <c r="AO94" s="63"/>
      <c r="AP94" s="63" t="s">
        <v>551</v>
      </c>
      <c r="AQ94" s="63">
        <v>4</v>
      </c>
      <c r="AR94" s="63" t="s">
        <v>449</v>
      </c>
      <c r="AS94" s="63">
        <v>1</v>
      </c>
      <c r="AT94" s="63" t="s">
        <v>450</v>
      </c>
      <c r="AU94" s="63" t="s">
        <v>450</v>
      </c>
      <c r="AV94" s="63" t="s">
        <v>450</v>
      </c>
      <c r="AW94" s="63">
        <v>5023</v>
      </c>
      <c r="AX94" s="63">
        <v>0</v>
      </c>
      <c r="AY94" s="63">
        <v>0</v>
      </c>
      <c r="AZ94" s="63">
        <v>0</v>
      </c>
      <c r="BA94" s="63" t="s">
        <v>453</v>
      </c>
      <c r="BB94" s="63" t="s">
        <v>487</v>
      </c>
      <c r="BC94" s="63" t="s">
        <v>456</v>
      </c>
      <c r="BD94" s="63" t="s">
        <v>456</v>
      </c>
      <c r="BE94" s="63" t="s">
        <v>456</v>
      </c>
      <c r="BF94" s="63" t="s">
        <v>456</v>
      </c>
      <c r="BG94" s="63" t="s">
        <v>456</v>
      </c>
      <c r="BH94" s="63" t="s">
        <v>456</v>
      </c>
      <c r="BI94" s="63" t="s">
        <v>456</v>
      </c>
      <c r="BJ94" s="63" t="s">
        <v>456</v>
      </c>
      <c r="BK94" s="63" t="s">
        <v>456</v>
      </c>
      <c r="BL94" s="63" t="s">
        <v>456</v>
      </c>
      <c r="BM94" s="63">
        <v>3472</v>
      </c>
      <c r="BN94" s="63">
        <v>6748</v>
      </c>
      <c r="BO94" s="63">
        <v>0</v>
      </c>
      <c r="BP94" s="63">
        <v>0</v>
      </c>
      <c r="BQ94" s="63">
        <v>0</v>
      </c>
      <c r="BR94" s="63">
        <v>0</v>
      </c>
      <c r="BS94" s="63">
        <v>0</v>
      </c>
      <c r="BT94" s="63">
        <v>0</v>
      </c>
      <c r="BU94" s="63">
        <v>0</v>
      </c>
      <c r="BV94" s="63">
        <v>0</v>
      </c>
      <c r="BW94" s="63">
        <v>0</v>
      </c>
      <c r="BX94" s="63">
        <v>0</v>
      </c>
      <c r="BY94" s="63" t="s">
        <v>490</v>
      </c>
      <c r="BZ94" s="63" t="s">
        <v>487</v>
      </c>
      <c r="CA94" s="63" t="s">
        <v>456</v>
      </c>
      <c r="CB94" s="65"/>
      <c r="CC94" s="63">
        <v>2</v>
      </c>
      <c r="CD94" s="63">
        <v>2</v>
      </c>
      <c r="CE94" s="63">
        <v>0</v>
      </c>
      <c r="CF94" s="63"/>
      <c r="CG94" s="63" t="s">
        <v>449</v>
      </c>
    </row>
    <row r="95" s="52" customFormat="1" ht="13.5" spans="1:85">
      <c r="A95" s="61" t="s">
        <v>33</v>
      </c>
      <c r="B95" s="61" t="s">
        <v>619</v>
      </c>
      <c r="C95" s="61">
        <v>13950</v>
      </c>
      <c r="D95" s="61"/>
      <c r="E95" s="61" t="s">
        <v>620</v>
      </c>
      <c r="F95" s="61" t="b">
        <f>IF(COUNTIF(按提示输入属性!D12,E95)&gt;0,TRUE,FALSE)</f>
        <v>0</v>
      </c>
      <c r="G95" s="61"/>
      <c r="H95" s="61"/>
      <c r="I95" s="61"/>
      <c r="J95" s="61"/>
      <c r="K95" s="61">
        <v>974</v>
      </c>
      <c r="L95" s="61">
        <f>INT(K95*F342)</f>
        <v>1047</v>
      </c>
      <c r="M95" s="61">
        <v>1896</v>
      </c>
      <c r="N95" s="61">
        <f>INT(M95*F342)</f>
        <v>2038</v>
      </c>
      <c r="O95" s="61">
        <v>0</v>
      </c>
      <c r="P95" s="61">
        <f>INT(O95*F342)</f>
        <v>0</v>
      </c>
      <c r="Q95" s="61">
        <v>0</v>
      </c>
      <c r="R95" s="61">
        <f>INT(Q95*F342)</f>
        <v>0</v>
      </c>
      <c r="S95" s="61">
        <v>4888</v>
      </c>
      <c r="T95" s="61">
        <f>INT(S95*F342)</f>
        <v>5255</v>
      </c>
      <c r="U95" s="61">
        <v>0</v>
      </c>
      <c r="V95" s="61">
        <f>INT(U95*F342)</f>
        <v>0</v>
      </c>
      <c r="W95" s="61">
        <v>4344</v>
      </c>
      <c r="X95" s="61">
        <f>INT(W95*F342)</f>
        <v>4670</v>
      </c>
      <c r="Y95" s="61">
        <v>0</v>
      </c>
      <c r="Z95" s="61">
        <v>0</v>
      </c>
      <c r="AA95" s="61">
        <v>0</v>
      </c>
      <c r="AB95" s="61">
        <v>0</v>
      </c>
      <c r="AC95" s="61">
        <v>1</v>
      </c>
      <c r="AD95" s="61">
        <v>1</v>
      </c>
      <c r="AE95" s="61">
        <v>0</v>
      </c>
      <c r="AF95" s="61">
        <v>0</v>
      </c>
      <c r="AG95" s="61">
        <v>0</v>
      </c>
      <c r="AH95" s="61">
        <v>0</v>
      </c>
      <c r="AI95" s="61">
        <v>0</v>
      </c>
      <c r="AJ95" s="61"/>
      <c r="AK95" s="61"/>
      <c r="AL95" s="61"/>
      <c r="AM95" s="61"/>
      <c r="AN95" s="61"/>
      <c r="AO95" s="61"/>
      <c r="AP95" s="61" t="s">
        <v>486</v>
      </c>
      <c r="AQ95" s="61">
        <v>6</v>
      </c>
      <c r="AR95" s="61" t="s">
        <v>524</v>
      </c>
      <c r="AS95" s="61">
        <v>1</v>
      </c>
      <c r="AT95" s="61" t="s">
        <v>450</v>
      </c>
      <c r="AU95" s="61" t="s">
        <v>450</v>
      </c>
      <c r="AV95" s="61" t="s">
        <v>450</v>
      </c>
      <c r="AW95" s="61">
        <v>5023</v>
      </c>
      <c r="AX95" s="61">
        <v>0</v>
      </c>
      <c r="AY95" s="61">
        <v>0</v>
      </c>
      <c r="AZ95" s="61">
        <v>0</v>
      </c>
      <c r="BA95" s="61" t="s">
        <v>453</v>
      </c>
      <c r="BB95" s="61" t="s">
        <v>454</v>
      </c>
      <c r="BC95" s="61" t="s">
        <v>462</v>
      </c>
      <c r="BD95" s="61" t="s">
        <v>456</v>
      </c>
      <c r="BE95" s="61" t="s">
        <v>456</v>
      </c>
      <c r="BF95" s="61" t="s">
        <v>456</v>
      </c>
      <c r="BG95" s="61" t="s">
        <v>456</v>
      </c>
      <c r="BH95" s="61" t="s">
        <v>456</v>
      </c>
      <c r="BI95" s="61" t="s">
        <v>456</v>
      </c>
      <c r="BJ95" s="61" t="s">
        <v>456</v>
      </c>
      <c r="BK95" s="61" t="s">
        <v>456</v>
      </c>
      <c r="BL95" s="61" t="s">
        <v>456</v>
      </c>
      <c r="BM95" s="61">
        <v>2961</v>
      </c>
      <c r="BN95" s="61">
        <v>3801</v>
      </c>
      <c r="BO95" s="61">
        <v>3991</v>
      </c>
      <c r="BP95" s="61">
        <v>0</v>
      </c>
      <c r="BQ95" s="61">
        <v>0</v>
      </c>
      <c r="BR95" s="61">
        <v>0</v>
      </c>
      <c r="BS95" s="61">
        <v>0</v>
      </c>
      <c r="BT95" s="61">
        <v>0</v>
      </c>
      <c r="BU95" s="61">
        <v>0</v>
      </c>
      <c r="BV95" s="61">
        <v>0</v>
      </c>
      <c r="BW95" s="61">
        <v>0</v>
      </c>
      <c r="BX95" s="61">
        <v>0</v>
      </c>
      <c r="BY95" s="61" t="s">
        <v>455</v>
      </c>
      <c r="BZ95" s="61" t="s">
        <v>453</v>
      </c>
      <c r="CA95" s="61" t="s">
        <v>456</v>
      </c>
      <c r="CB95" s="66"/>
      <c r="CC95" s="61">
        <v>2</v>
      </c>
      <c r="CD95" s="61">
        <v>2</v>
      </c>
      <c r="CE95" s="61">
        <v>0</v>
      </c>
      <c r="CF95" s="61"/>
      <c r="CG95" s="61" t="s">
        <v>449</v>
      </c>
    </row>
    <row r="96" s="52" customFormat="1" ht="13.5" spans="1:85">
      <c r="A96" s="61" t="s">
        <v>33</v>
      </c>
      <c r="B96" s="61" t="s">
        <v>621</v>
      </c>
      <c r="C96" s="61">
        <v>13950</v>
      </c>
      <c r="D96" s="61"/>
      <c r="E96" s="61" t="s">
        <v>622</v>
      </c>
      <c r="F96" s="61" t="b">
        <f>IF(COUNTIF(按提示输入属性!D12,E96)&gt;0,TRUE,FALSE)</f>
        <v>0</v>
      </c>
      <c r="G96" s="61"/>
      <c r="H96" s="61"/>
      <c r="I96" s="61"/>
      <c r="J96" s="61"/>
      <c r="K96" s="61">
        <v>974</v>
      </c>
      <c r="L96" s="61">
        <f>INT(K96*F342)</f>
        <v>1047</v>
      </c>
      <c r="M96" s="61">
        <v>1896</v>
      </c>
      <c r="N96" s="61">
        <f>INT(M96*F342)</f>
        <v>2038</v>
      </c>
      <c r="O96" s="61">
        <v>4888</v>
      </c>
      <c r="P96" s="61">
        <f>INT(O96*F342)</f>
        <v>5255</v>
      </c>
      <c r="Q96" s="61">
        <v>0</v>
      </c>
      <c r="R96" s="61">
        <f>INT(Q96*F342)</f>
        <v>0</v>
      </c>
      <c r="S96" s="61">
        <v>0</v>
      </c>
      <c r="T96" s="61">
        <f>INT(S96*F342)</f>
        <v>0</v>
      </c>
      <c r="U96" s="61">
        <v>4344</v>
      </c>
      <c r="V96" s="61">
        <f>INT(U96*F342)</f>
        <v>4670</v>
      </c>
      <c r="W96" s="61">
        <v>0</v>
      </c>
      <c r="X96" s="61">
        <f>INT(W96*F342)</f>
        <v>0</v>
      </c>
      <c r="Y96" s="61">
        <v>0</v>
      </c>
      <c r="Z96" s="61">
        <v>0</v>
      </c>
      <c r="AA96" s="61">
        <v>0</v>
      </c>
      <c r="AB96" s="61">
        <v>0</v>
      </c>
      <c r="AC96" s="61">
        <v>0</v>
      </c>
      <c r="AD96" s="61">
        <v>0</v>
      </c>
      <c r="AE96" s="61">
        <v>0</v>
      </c>
      <c r="AF96" s="61">
        <v>1</v>
      </c>
      <c r="AG96" s="61">
        <v>1</v>
      </c>
      <c r="AH96" s="61">
        <v>0</v>
      </c>
      <c r="AI96" s="61">
        <v>0</v>
      </c>
      <c r="AJ96" s="61"/>
      <c r="AK96" s="61"/>
      <c r="AL96" s="61"/>
      <c r="AM96" s="61"/>
      <c r="AN96" s="61"/>
      <c r="AO96" s="61"/>
      <c r="AP96" s="61" t="s">
        <v>468</v>
      </c>
      <c r="AQ96" s="61">
        <v>6</v>
      </c>
      <c r="AR96" s="61" t="s">
        <v>469</v>
      </c>
      <c r="AS96" s="61">
        <v>1</v>
      </c>
      <c r="AT96" s="61" t="s">
        <v>450</v>
      </c>
      <c r="AU96" s="61" t="s">
        <v>450</v>
      </c>
      <c r="AV96" s="61" t="s">
        <v>450</v>
      </c>
      <c r="AW96" s="61">
        <v>5023</v>
      </c>
      <c r="AX96" s="61">
        <v>0</v>
      </c>
      <c r="AY96" s="61">
        <v>0</v>
      </c>
      <c r="AZ96" s="61">
        <v>0</v>
      </c>
      <c r="BA96" s="61" t="s">
        <v>453</v>
      </c>
      <c r="BB96" s="61" t="s">
        <v>454</v>
      </c>
      <c r="BC96" s="61" t="s">
        <v>487</v>
      </c>
      <c r="BD96" s="61" t="s">
        <v>490</v>
      </c>
      <c r="BE96" s="61" t="s">
        <v>456</v>
      </c>
      <c r="BF96" s="61" t="s">
        <v>456</v>
      </c>
      <c r="BG96" s="61" t="s">
        <v>456</v>
      </c>
      <c r="BH96" s="61" t="s">
        <v>456</v>
      </c>
      <c r="BI96" s="61" t="s">
        <v>456</v>
      </c>
      <c r="BJ96" s="61" t="s">
        <v>456</v>
      </c>
      <c r="BK96" s="61" t="s">
        <v>456</v>
      </c>
      <c r="BL96" s="61" t="s">
        <v>456</v>
      </c>
      <c r="BM96" s="61">
        <v>2961</v>
      </c>
      <c r="BN96" s="61">
        <v>2756</v>
      </c>
      <c r="BO96" s="61">
        <v>2946</v>
      </c>
      <c r="BP96" s="61">
        <v>1901</v>
      </c>
      <c r="BQ96" s="61">
        <v>0</v>
      </c>
      <c r="BR96" s="61">
        <v>0</v>
      </c>
      <c r="BS96" s="61">
        <v>0</v>
      </c>
      <c r="BT96" s="61">
        <v>0</v>
      </c>
      <c r="BU96" s="61">
        <v>0</v>
      </c>
      <c r="BV96" s="61">
        <v>0</v>
      </c>
      <c r="BW96" s="61">
        <v>0</v>
      </c>
      <c r="BX96" s="61">
        <v>0</v>
      </c>
      <c r="BY96" s="61" t="s">
        <v>455</v>
      </c>
      <c r="BZ96" s="61" t="s">
        <v>454</v>
      </c>
      <c r="CA96" s="61" t="s">
        <v>456</v>
      </c>
      <c r="CB96" s="66"/>
      <c r="CC96" s="61">
        <v>2</v>
      </c>
      <c r="CD96" s="61">
        <v>2</v>
      </c>
      <c r="CE96" s="61">
        <v>0</v>
      </c>
      <c r="CF96" s="61"/>
      <c r="CG96" s="61" t="s">
        <v>449</v>
      </c>
    </row>
    <row r="97" s="53" customFormat="1" ht="13.5" spans="1:85">
      <c r="A97" s="62" t="s">
        <v>33</v>
      </c>
      <c r="B97" s="62" t="s">
        <v>623</v>
      </c>
      <c r="C97" s="62">
        <v>13550</v>
      </c>
      <c r="D97" s="62"/>
      <c r="E97" s="62" t="s">
        <v>624</v>
      </c>
      <c r="F97" s="62" t="b">
        <f>IF(COUNTIF(按提示输入属性!D12,E97)&gt;0,TRUE,FALSE)</f>
        <v>0</v>
      </c>
      <c r="G97" s="62"/>
      <c r="H97" s="62"/>
      <c r="I97" s="62"/>
      <c r="J97" s="62"/>
      <c r="K97" s="62">
        <v>0</v>
      </c>
      <c r="L97" s="62">
        <f>INT(K97*F342)</f>
        <v>0</v>
      </c>
      <c r="M97" s="62">
        <v>4817</v>
      </c>
      <c r="N97" s="62">
        <f>INT(M97*F344)</f>
        <v>4933</v>
      </c>
      <c r="O97" s="62">
        <v>0</v>
      </c>
      <c r="P97" s="61">
        <f>INT(O97*F344)</f>
        <v>0</v>
      </c>
      <c r="Q97" s="62">
        <v>0</v>
      </c>
      <c r="R97" s="61">
        <f>INT(Q97*F344)</f>
        <v>0</v>
      </c>
      <c r="S97" s="62">
        <v>0</v>
      </c>
      <c r="T97" s="61">
        <f>INT(S97*F344)</f>
        <v>0</v>
      </c>
      <c r="U97" s="62">
        <v>0</v>
      </c>
      <c r="V97" s="61">
        <f>INT(U97*F344)</f>
        <v>0</v>
      </c>
      <c r="W97" s="62">
        <v>9363</v>
      </c>
      <c r="X97" s="61">
        <f>INT(W97*F344)</f>
        <v>9588</v>
      </c>
      <c r="Y97" s="62">
        <v>0</v>
      </c>
      <c r="Z97" s="62">
        <v>0</v>
      </c>
      <c r="AA97" s="62">
        <v>0</v>
      </c>
      <c r="AB97" s="62">
        <v>0</v>
      </c>
      <c r="AC97" s="62">
        <v>0</v>
      </c>
      <c r="AD97" s="62">
        <v>1</v>
      </c>
      <c r="AE97" s="62">
        <v>0</v>
      </c>
      <c r="AF97" s="62">
        <v>0</v>
      </c>
      <c r="AG97" s="62">
        <v>0</v>
      </c>
      <c r="AH97" s="62">
        <v>1</v>
      </c>
      <c r="AI97" s="62">
        <v>0</v>
      </c>
      <c r="AJ97" s="62"/>
      <c r="AK97" s="62"/>
      <c r="AL97" s="62"/>
      <c r="AM97" s="62"/>
      <c r="AN97" s="62"/>
      <c r="AO97" s="62"/>
      <c r="AP97" s="62" t="s">
        <v>568</v>
      </c>
      <c r="AQ97" s="62">
        <v>3</v>
      </c>
      <c r="AR97" s="62" t="s">
        <v>473</v>
      </c>
      <c r="AS97" s="62">
        <v>1</v>
      </c>
      <c r="AT97" s="62" t="s">
        <v>450</v>
      </c>
      <c r="AU97" s="62" t="s">
        <v>450</v>
      </c>
      <c r="AV97" s="62" t="s">
        <v>450</v>
      </c>
      <c r="AW97" s="62">
        <v>0</v>
      </c>
      <c r="AX97" s="62">
        <v>0</v>
      </c>
      <c r="AY97" s="62">
        <v>0</v>
      </c>
      <c r="AZ97" s="62">
        <v>0</v>
      </c>
      <c r="BA97" s="62" t="s">
        <v>453</v>
      </c>
      <c r="BB97" s="62" t="s">
        <v>455</v>
      </c>
      <c r="BC97" s="62" t="s">
        <v>454</v>
      </c>
      <c r="BD97" s="62" t="s">
        <v>487</v>
      </c>
      <c r="BE97" s="62" t="s">
        <v>456</v>
      </c>
      <c r="BF97" s="62" t="s">
        <v>456</v>
      </c>
      <c r="BG97" s="62" t="s">
        <v>456</v>
      </c>
      <c r="BH97" s="62" t="s">
        <v>456</v>
      </c>
      <c r="BI97" s="62" t="s">
        <v>456</v>
      </c>
      <c r="BJ97" s="62" t="s">
        <v>456</v>
      </c>
      <c r="BK97" s="62" t="s">
        <v>456</v>
      </c>
      <c r="BL97" s="62" t="s">
        <v>456</v>
      </c>
      <c r="BM97" s="62">
        <v>3267</v>
      </c>
      <c r="BN97" s="62">
        <v>2281</v>
      </c>
      <c r="BO97" s="62">
        <v>2471</v>
      </c>
      <c r="BP97" s="62">
        <v>2471</v>
      </c>
      <c r="BQ97" s="62">
        <v>0</v>
      </c>
      <c r="BR97" s="62">
        <v>0</v>
      </c>
      <c r="BS97" s="62">
        <v>0</v>
      </c>
      <c r="BT97" s="62">
        <v>0</v>
      </c>
      <c r="BU97" s="62">
        <v>0</v>
      </c>
      <c r="BV97" s="62">
        <v>0</v>
      </c>
      <c r="BW97" s="62">
        <v>0</v>
      </c>
      <c r="BX97" s="62">
        <v>0</v>
      </c>
      <c r="BY97" s="62" t="s">
        <v>490</v>
      </c>
      <c r="BZ97" s="62" t="s">
        <v>454</v>
      </c>
      <c r="CA97" s="62" t="s">
        <v>456</v>
      </c>
      <c r="CB97" s="64"/>
      <c r="CC97" s="62">
        <v>2</v>
      </c>
      <c r="CD97" s="62">
        <v>2</v>
      </c>
      <c r="CE97" s="62">
        <v>0</v>
      </c>
      <c r="CF97" s="62"/>
      <c r="CG97" s="62" t="s">
        <v>449</v>
      </c>
    </row>
    <row r="98" s="53" customFormat="1" ht="13.5" spans="1:85">
      <c r="A98" s="62" t="s">
        <v>33</v>
      </c>
      <c r="B98" s="62" t="s">
        <v>623</v>
      </c>
      <c r="C98" s="62">
        <v>13550</v>
      </c>
      <c r="D98" s="62"/>
      <c r="E98" s="62" t="s">
        <v>625</v>
      </c>
      <c r="F98" s="62" t="b">
        <f>IF(COUNTIF(按提示输入属性!D12,E98)&gt;0,TRUE,FALSE)</f>
        <v>0</v>
      </c>
      <c r="G98" s="62"/>
      <c r="H98" s="62"/>
      <c r="I98" s="62"/>
      <c r="J98" s="62"/>
      <c r="K98" s="62">
        <v>0</v>
      </c>
      <c r="L98" s="62">
        <f>INT(K98*F342)</f>
        <v>0</v>
      </c>
      <c r="M98" s="62">
        <v>4109</v>
      </c>
      <c r="N98" s="62">
        <f>INT(M98*F344)</f>
        <v>4208</v>
      </c>
      <c r="O98" s="62">
        <v>5275</v>
      </c>
      <c r="P98" s="62">
        <f>INT(O98*F344)</f>
        <v>5402</v>
      </c>
      <c r="Q98" s="62">
        <v>0</v>
      </c>
      <c r="R98" s="62">
        <f>INT(Q98*F344)</f>
        <v>0</v>
      </c>
      <c r="S98" s="62">
        <v>0</v>
      </c>
      <c r="T98" s="62">
        <f>INT(S98*F344)</f>
        <v>0</v>
      </c>
      <c r="U98" s="62">
        <v>0</v>
      </c>
      <c r="V98" s="62">
        <f>INT(U98*F344)</f>
        <v>0</v>
      </c>
      <c r="W98" s="62">
        <v>5539</v>
      </c>
      <c r="X98" s="62">
        <f>INT(W98*F344)</f>
        <v>5672</v>
      </c>
      <c r="Y98" s="62">
        <v>0</v>
      </c>
      <c r="Z98" s="62">
        <v>0</v>
      </c>
      <c r="AA98" s="62">
        <v>0</v>
      </c>
      <c r="AB98" s="62">
        <v>0</v>
      </c>
      <c r="AC98" s="62">
        <v>0</v>
      </c>
      <c r="AD98" s="62">
        <v>0</v>
      </c>
      <c r="AE98" s="62">
        <v>1</v>
      </c>
      <c r="AF98" s="62">
        <v>0</v>
      </c>
      <c r="AG98" s="62">
        <v>0</v>
      </c>
      <c r="AH98" s="62">
        <v>1</v>
      </c>
      <c r="AI98" s="62">
        <v>0</v>
      </c>
      <c r="AJ98" s="62"/>
      <c r="AK98" s="62"/>
      <c r="AL98" s="62"/>
      <c r="AM98" s="62"/>
      <c r="AN98" s="62"/>
      <c r="AO98" s="62"/>
      <c r="AP98" s="62" t="s">
        <v>626</v>
      </c>
      <c r="AQ98" s="62">
        <v>3</v>
      </c>
      <c r="AR98" s="62" t="s">
        <v>473</v>
      </c>
      <c r="AS98" s="62">
        <v>1</v>
      </c>
      <c r="AT98" s="62" t="s">
        <v>450</v>
      </c>
      <c r="AU98" s="62" t="s">
        <v>450</v>
      </c>
      <c r="AV98" s="62" t="s">
        <v>450</v>
      </c>
      <c r="AW98" s="62">
        <v>0</v>
      </c>
      <c r="AX98" s="62">
        <v>0</v>
      </c>
      <c r="AY98" s="62">
        <v>0</v>
      </c>
      <c r="AZ98" s="62">
        <v>0</v>
      </c>
      <c r="BA98" s="62" t="s">
        <v>453</v>
      </c>
      <c r="BB98" s="62" t="s">
        <v>454</v>
      </c>
      <c r="BC98" s="62" t="s">
        <v>456</v>
      </c>
      <c r="BD98" s="62" t="s">
        <v>456</v>
      </c>
      <c r="BE98" s="62" t="s">
        <v>456</v>
      </c>
      <c r="BF98" s="62" t="s">
        <v>456</v>
      </c>
      <c r="BG98" s="62" t="s">
        <v>456</v>
      </c>
      <c r="BH98" s="62" t="s">
        <v>456</v>
      </c>
      <c r="BI98" s="62" t="s">
        <v>456</v>
      </c>
      <c r="BJ98" s="62" t="s">
        <v>456</v>
      </c>
      <c r="BK98" s="62" t="s">
        <v>456</v>
      </c>
      <c r="BL98" s="62" t="s">
        <v>456</v>
      </c>
      <c r="BM98" s="62">
        <v>4959</v>
      </c>
      <c r="BN98" s="62">
        <v>9639</v>
      </c>
      <c r="BO98" s="62">
        <v>0</v>
      </c>
      <c r="BP98" s="62">
        <v>0</v>
      </c>
      <c r="BQ98" s="62">
        <v>0</v>
      </c>
      <c r="BR98" s="62">
        <v>0</v>
      </c>
      <c r="BS98" s="62">
        <v>0</v>
      </c>
      <c r="BT98" s="62">
        <v>0</v>
      </c>
      <c r="BU98" s="62">
        <v>0</v>
      </c>
      <c r="BV98" s="62">
        <v>0</v>
      </c>
      <c r="BW98" s="62">
        <v>0</v>
      </c>
      <c r="BX98" s="62">
        <v>0</v>
      </c>
      <c r="BY98" s="62" t="s">
        <v>455</v>
      </c>
      <c r="BZ98" s="62" t="s">
        <v>453</v>
      </c>
      <c r="CA98" s="62" t="s">
        <v>456</v>
      </c>
      <c r="CB98" s="64"/>
      <c r="CC98" s="62">
        <v>2</v>
      </c>
      <c r="CD98" s="62">
        <v>2</v>
      </c>
      <c r="CE98" s="62">
        <v>0</v>
      </c>
      <c r="CF98" s="62"/>
      <c r="CG98" s="62" t="s">
        <v>449</v>
      </c>
    </row>
    <row r="99" s="53" customFormat="1" ht="13.5" spans="1:85">
      <c r="A99" s="62" t="s">
        <v>33</v>
      </c>
      <c r="B99" s="62" t="s">
        <v>623</v>
      </c>
      <c r="C99" s="62">
        <v>13550</v>
      </c>
      <c r="D99" s="62"/>
      <c r="E99" s="62" t="s">
        <v>627</v>
      </c>
      <c r="F99" s="62" t="b">
        <f>IF(COUNTIF(按提示输入属性!D12,E99)&gt;0,TRUE,FALSE)</f>
        <v>0</v>
      </c>
      <c r="G99" s="62"/>
      <c r="H99" s="62"/>
      <c r="I99" s="62"/>
      <c r="J99" s="62"/>
      <c r="K99" s="62">
        <v>0</v>
      </c>
      <c r="L99" s="62">
        <f>INT(K99*F342)</f>
        <v>0</v>
      </c>
      <c r="M99" s="62">
        <v>4109</v>
      </c>
      <c r="N99" s="62">
        <f>INT(M99*F344)</f>
        <v>4208</v>
      </c>
      <c r="O99" s="62">
        <v>0</v>
      </c>
      <c r="P99" s="61">
        <f>INT(O99*F344)</f>
        <v>0</v>
      </c>
      <c r="Q99" s="62">
        <v>0</v>
      </c>
      <c r="R99" s="61">
        <f>INT(Q99*F344)</f>
        <v>0</v>
      </c>
      <c r="S99" s="62">
        <v>4484</v>
      </c>
      <c r="T99" s="61">
        <f>INT(S99*F344)</f>
        <v>4592</v>
      </c>
      <c r="U99" s="62">
        <v>3692</v>
      </c>
      <c r="V99" s="61">
        <f>INT(U99*F344)</f>
        <v>3781</v>
      </c>
      <c r="W99" s="62">
        <v>2637</v>
      </c>
      <c r="X99" s="61">
        <f>INT(W99*F344)</f>
        <v>2700</v>
      </c>
      <c r="Y99" s="62">
        <v>0</v>
      </c>
      <c r="Z99" s="62">
        <v>0</v>
      </c>
      <c r="AA99" s="62">
        <v>0</v>
      </c>
      <c r="AB99" s="62">
        <v>0</v>
      </c>
      <c r="AC99" s="62">
        <v>0</v>
      </c>
      <c r="AD99" s="62">
        <v>1</v>
      </c>
      <c r="AE99" s="62">
        <v>0</v>
      </c>
      <c r="AF99" s="62">
        <v>0</v>
      </c>
      <c r="AG99" s="62">
        <v>0</v>
      </c>
      <c r="AH99" s="62">
        <v>1</v>
      </c>
      <c r="AI99" s="62">
        <v>0</v>
      </c>
      <c r="AJ99" s="62"/>
      <c r="AK99" s="62"/>
      <c r="AL99" s="62"/>
      <c r="AM99" s="62"/>
      <c r="AN99" s="62"/>
      <c r="AO99" s="62"/>
      <c r="AP99" s="62" t="s">
        <v>611</v>
      </c>
      <c r="AQ99" s="62">
        <v>3</v>
      </c>
      <c r="AR99" s="62" t="s">
        <v>473</v>
      </c>
      <c r="AS99" s="62">
        <v>1</v>
      </c>
      <c r="AT99" s="62" t="s">
        <v>450</v>
      </c>
      <c r="AU99" s="62" t="s">
        <v>450</v>
      </c>
      <c r="AV99" s="62" t="s">
        <v>450</v>
      </c>
      <c r="AW99" s="62">
        <v>0</v>
      </c>
      <c r="AX99" s="62">
        <v>0</v>
      </c>
      <c r="AY99" s="62">
        <v>0</v>
      </c>
      <c r="AZ99" s="62">
        <v>0</v>
      </c>
      <c r="BA99" s="62" t="s">
        <v>453</v>
      </c>
      <c r="BB99" s="62" t="s">
        <v>455</v>
      </c>
      <c r="BC99" s="62" t="s">
        <v>487</v>
      </c>
      <c r="BD99" s="62" t="s">
        <v>456</v>
      </c>
      <c r="BE99" s="62" t="s">
        <v>456</v>
      </c>
      <c r="BF99" s="62" t="s">
        <v>456</v>
      </c>
      <c r="BG99" s="62" t="s">
        <v>456</v>
      </c>
      <c r="BH99" s="62" t="s">
        <v>456</v>
      </c>
      <c r="BI99" s="62" t="s">
        <v>456</v>
      </c>
      <c r="BJ99" s="62" t="s">
        <v>456</v>
      </c>
      <c r="BK99" s="62" t="s">
        <v>456</v>
      </c>
      <c r="BL99" s="62" t="s">
        <v>456</v>
      </c>
      <c r="BM99" s="62">
        <v>4230</v>
      </c>
      <c r="BN99" s="62">
        <v>5702</v>
      </c>
      <c r="BO99" s="62">
        <v>5431</v>
      </c>
      <c r="BP99" s="62">
        <v>0</v>
      </c>
      <c r="BQ99" s="62">
        <v>0</v>
      </c>
      <c r="BR99" s="62">
        <v>0</v>
      </c>
      <c r="BS99" s="62">
        <v>0</v>
      </c>
      <c r="BT99" s="62">
        <v>0</v>
      </c>
      <c r="BU99" s="62">
        <v>0</v>
      </c>
      <c r="BV99" s="62">
        <v>0</v>
      </c>
      <c r="BW99" s="62">
        <v>0</v>
      </c>
      <c r="BX99" s="62">
        <v>0</v>
      </c>
      <c r="BY99" s="62" t="s">
        <v>490</v>
      </c>
      <c r="BZ99" s="62" t="s">
        <v>455</v>
      </c>
      <c r="CA99" s="62" t="s">
        <v>456</v>
      </c>
      <c r="CB99" s="64"/>
      <c r="CC99" s="62">
        <v>2</v>
      </c>
      <c r="CD99" s="62">
        <v>2</v>
      </c>
      <c r="CE99" s="62">
        <v>0</v>
      </c>
      <c r="CF99" s="62"/>
      <c r="CG99" s="62" t="s">
        <v>449</v>
      </c>
    </row>
    <row r="100" s="53" customFormat="1" ht="13.5" spans="1:85">
      <c r="A100" s="62" t="s">
        <v>33</v>
      </c>
      <c r="B100" s="62" t="s">
        <v>623</v>
      </c>
      <c r="C100" s="62">
        <v>12800</v>
      </c>
      <c r="D100" s="62"/>
      <c r="E100" s="62" t="s">
        <v>628</v>
      </c>
      <c r="F100" s="62" t="b">
        <f>IF(COUNTIF(按提示输入属性!D12,E100)&gt;0,TRUE,FALSE)</f>
        <v>0</v>
      </c>
      <c r="G100" s="62"/>
      <c r="H100" s="62"/>
      <c r="I100" s="62"/>
      <c r="J100" s="62"/>
      <c r="K100" s="62">
        <v>0</v>
      </c>
      <c r="L100" s="62">
        <f>INT(K100*F342)</f>
        <v>0</v>
      </c>
      <c r="M100" s="62">
        <v>4551</v>
      </c>
      <c r="N100" s="62">
        <f>INT(M100*F344)</f>
        <v>4660</v>
      </c>
      <c r="O100" s="62">
        <v>0</v>
      </c>
      <c r="P100" s="61">
        <f>INT(O100*F344)</f>
        <v>0</v>
      </c>
      <c r="Q100" s="62">
        <v>0</v>
      </c>
      <c r="R100" s="61">
        <f>INT(Q100*F344)</f>
        <v>0</v>
      </c>
      <c r="S100" s="62">
        <v>8845</v>
      </c>
      <c r="T100" s="61">
        <f>INT(S100*F344)</f>
        <v>9058</v>
      </c>
      <c r="U100" s="62">
        <v>0</v>
      </c>
      <c r="V100" s="61">
        <f>INT(U100*F344)</f>
        <v>0</v>
      </c>
      <c r="W100" s="62">
        <v>0</v>
      </c>
      <c r="X100" s="61">
        <f>INT(W100*F344)</f>
        <v>0</v>
      </c>
      <c r="Y100" s="62">
        <v>0</v>
      </c>
      <c r="Z100" s="62">
        <v>0</v>
      </c>
      <c r="AA100" s="62">
        <v>0</v>
      </c>
      <c r="AB100" s="62">
        <v>0</v>
      </c>
      <c r="AC100" s="62">
        <v>1</v>
      </c>
      <c r="AD100" s="62">
        <v>0</v>
      </c>
      <c r="AE100" s="62">
        <v>0</v>
      </c>
      <c r="AF100" s="62">
        <v>0</v>
      </c>
      <c r="AG100" s="62">
        <v>1</v>
      </c>
      <c r="AH100" s="62">
        <v>0</v>
      </c>
      <c r="AI100" s="62">
        <v>0</v>
      </c>
      <c r="AJ100" s="62"/>
      <c r="AK100" s="62"/>
      <c r="AL100" s="62"/>
      <c r="AM100" s="62"/>
      <c r="AN100" s="62"/>
      <c r="AO100" s="62"/>
      <c r="AP100" s="62" t="s">
        <v>479</v>
      </c>
      <c r="AQ100" s="62">
        <v>3</v>
      </c>
      <c r="AR100" s="62" t="s">
        <v>473</v>
      </c>
      <c r="AS100" s="62">
        <v>1</v>
      </c>
      <c r="AT100" s="62" t="s">
        <v>450</v>
      </c>
      <c r="AU100" s="62" t="s">
        <v>450</v>
      </c>
      <c r="AV100" s="62" t="s">
        <v>450</v>
      </c>
      <c r="AW100" s="62">
        <v>0</v>
      </c>
      <c r="AX100" s="62">
        <v>0</v>
      </c>
      <c r="AY100" s="62">
        <v>0</v>
      </c>
      <c r="AZ100" s="62">
        <v>0</v>
      </c>
      <c r="BA100" s="62" t="s">
        <v>453</v>
      </c>
      <c r="BB100" s="62" t="s">
        <v>455</v>
      </c>
      <c r="BC100" s="62" t="s">
        <v>454</v>
      </c>
      <c r="BD100" s="62" t="s">
        <v>462</v>
      </c>
      <c r="BE100" s="62" t="s">
        <v>456</v>
      </c>
      <c r="BF100" s="62" t="s">
        <v>456</v>
      </c>
      <c r="BG100" s="62" t="s">
        <v>456</v>
      </c>
      <c r="BH100" s="62" t="s">
        <v>456</v>
      </c>
      <c r="BI100" s="62" t="s">
        <v>456</v>
      </c>
      <c r="BJ100" s="62" t="s">
        <v>456</v>
      </c>
      <c r="BK100" s="62" t="s">
        <v>456</v>
      </c>
      <c r="BL100" s="62" t="s">
        <v>456</v>
      </c>
      <c r="BM100" s="62">
        <v>4230</v>
      </c>
      <c r="BN100" s="62">
        <v>3801</v>
      </c>
      <c r="BO100" s="62">
        <v>4616</v>
      </c>
      <c r="BP100" s="62">
        <v>2715</v>
      </c>
      <c r="BQ100" s="62">
        <v>0</v>
      </c>
      <c r="BR100" s="62">
        <v>0</v>
      </c>
      <c r="BS100" s="62">
        <v>0</v>
      </c>
      <c r="BT100" s="62">
        <v>0</v>
      </c>
      <c r="BU100" s="62">
        <v>0</v>
      </c>
      <c r="BV100" s="62">
        <v>0</v>
      </c>
      <c r="BW100" s="62">
        <v>0</v>
      </c>
      <c r="BX100" s="62">
        <v>0</v>
      </c>
      <c r="BY100" s="62" t="s">
        <v>487</v>
      </c>
      <c r="BZ100" s="62" t="s">
        <v>462</v>
      </c>
      <c r="CA100" s="62" t="s">
        <v>456</v>
      </c>
      <c r="CB100" s="64"/>
      <c r="CC100" s="62">
        <v>2</v>
      </c>
      <c r="CD100" s="62">
        <v>2</v>
      </c>
      <c r="CE100" s="62">
        <v>0</v>
      </c>
      <c r="CF100" s="62"/>
      <c r="CG100" s="62" t="s">
        <v>449</v>
      </c>
    </row>
    <row r="101" s="53" customFormat="1" ht="13.5" spans="1:85">
      <c r="A101" s="62" t="s">
        <v>33</v>
      </c>
      <c r="B101" s="62" t="s">
        <v>623</v>
      </c>
      <c r="C101" s="62">
        <v>12800</v>
      </c>
      <c r="D101" s="62"/>
      <c r="E101" s="62" t="s">
        <v>629</v>
      </c>
      <c r="F101" s="62" t="b">
        <f>IF(COUNTIF(按提示输入属性!D12,E101)&gt;0,TRUE,FALSE)</f>
        <v>0</v>
      </c>
      <c r="G101" s="62"/>
      <c r="H101" s="62"/>
      <c r="I101" s="62"/>
      <c r="J101" s="62"/>
      <c r="K101" s="62">
        <v>0</v>
      </c>
      <c r="L101" s="62">
        <f>INT(K101*F342)</f>
        <v>0</v>
      </c>
      <c r="M101" s="62">
        <v>3881</v>
      </c>
      <c r="N101" s="62">
        <f>INT(M101*F344)</f>
        <v>3974</v>
      </c>
      <c r="O101" s="62">
        <v>0</v>
      </c>
      <c r="P101" s="61">
        <f>INT(O101*F344)</f>
        <v>0</v>
      </c>
      <c r="Q101" s="62">
        <v>0</v>
      </c>
      <c r="R101" s="61">
        <f>INT(Q101*F344)</f>
        <v>0</v>
      </c>
      <c r="S101" s="62">
        <v>0</v>
      </c>
      <c r="T101" s="61">
        <f>INT(S101*F344)</f>
        <v>0</v>
      </c>
      <c r="U101" s="62">
        <v>5107</v>
      </c>
      <c r="V101" s="61">
        <f>INT(U101*F344)</f>
        <v>5230</v>
      </c>
      <c r="W101" s="62">
        <v>5107</v>
      </c>
      <c r="X101" s="61">
        <f>INT(W101*F344)</f>
        <v>5230</v>
      </c>
      <c r="Y101" s="62">
        <v>0</v>
      </c>
      <c r="Z101" s="62">
        <v>0</v>
      </c>
      <c r="AA101" s="62">
        <v>0</v>
      </c>
      <c r="AB101" s="62">
        <v>0</v>
      </c>
      <c r="AC101" s="62">
        <v>0</v>
      </c>
      <c r="AD101" s="62">
        <v>1</v>
      </c>
      <c r="AE101" s="62">
        <v>0</v>
      </c>
      <c r="AF101" s="62">
        <v>0</v>
      </c>
      <c r="AG101" s="62">
        <v>0</v>
      </c>
      <c r="AH101" s="62">
        <v>1</v>
      </c>
      <c r="AI101" s="62">
        <v>0</v>
      </c>
      <c r="AJ101" s="62"/>
      <c r="AK101" s="62"/>
      <c r="AL101" s="62"/>
      <c r="AM101" s="62"/>
      <c r="AN101" s="62"/>
      <c r="AO101" s="62"/>
      <c r="AP101" s="62" t="s">
        <v>630</v>
      </c>
      <c r="AQ101" s="62">
        <v>3</v>
      </c>
      <c r="AR101" s="62" t="s">
        <v>473</v>
      </c>
      <c r="AS101" s="62">
        <v>1</v>
      </c>
      <c r="AT101" s="62" t="s">
        <v>450</v>
      </c>
      <c r="AU101" s="62" t="s">
        <v>450</v>
      </c>
      <c r="AV101" s="62" t="s">
        <v>450</v>
      </c>
      <c r="AW101" s="62">
        <v>0</v>
      </c>
      <c r="AX101" s="62">
        <v>0</v>
      </c>
      <c r="AY101" s="62">
        <v>0</v>
      </c>
      <c r="AZ101" s="62">
        <v>0</v>
      </c>
      <c r="BA101" s="62" t="s">
        <v>453</v>
      </c>
      <c r="BB101" s="62" t="s">
        <v>454</v>
      </c>
      <c r="BC101" s="62" t="s">
        <v>487</v>
      </c>
      <c r="BD101" s="62" t="s">
        <v>462</v>
      </c>
      <c r="BE101" s="62" t="s">
        <v>456</v>
      </c>
      <c r="BF101" s="62" t="s">
        <v>456</v>
      </c>
      <c r="BG101" s="62" t="s">
        <v>456</v>
      </c>
      <c r="BH101" s="62" t="s">
        <v>456</v>
      </c>
      <c r="BI101" s="62" t="s">
        <v>456</v>
      </c>
      <c r="BJ101" s="62" t="s">
        <v>456</v>
      </c>
      <c r="BK101" s="62" t="s">
        <v>456</v>
      </c>
      <c r="BL101" s="62" t="s">
        <v>456</v>
      </c>
      <c r="BM101" s="62">
        <v>4230</v>
      </c>
      <c r="BN101" s="62">
        <v>3801</v>
      </c>
      <c r="BO101" s="62">
        <v>4344</v>
      </c>
      <c r="BP101" s="62">
        <v>2987</v>
      </c>
      <c r="BQ101" s="62">
        <v>0</v>
      </c>
      <c r="BR101" s="62">
        <v>0</v>
      </c>
      <c r="BS101" s="62">
        <v>0</v>
      </c>
      <c r="BT101" s="62">
        <v>0</v>
      </c>
      <c r="BU101" s="62">
        <v>0</v>
      </c>
      <c r="BV101" s="62">
        <v>0</v>
      </c>
      <c r="BW101" s="62">
        <v>0</v>
      </c>
      <c r="BX101" s="62">
        <v>0</v>
      </c>
      <c r="BY101" s="62" t="s">
        <v>490</v>
      </c>
      <c r="BZ101" s="62" t="s">
        <v>453</v>
      </c>
      <c r="CA101" s="62" t="s">
        <v>456</v>
      </c>
      <c r="CB101" s="64"/>
      <c r="CC101" s="62">
        <v>2</v>
      </c>
      <c r="CD101" s="62">
        <v>2</v>
      </c>
      <c r="CE101" s="62">
        <v>0</v>
      </c>
      <c r="CF101" s="62"/>
      <c r="CG101" s="62" t="s">
        <v>449</v>
      </c>
    </row>
    <row r="102" s="53" customFormat="1" ht="13.5" spans="1:85">
      <c r="A102" s="62" t="s">
        <v>33</v>
      </c>
      <c r="B102" s="62" t="s">
        <v>623</v>
      </c>
      <c r="C102" s="62">
        <v>12800</v>
      </c>
      <c r="D102" s="62"/>
      <c r="E102" s="62" t="s">
        <v>631</v>
      </c>
      <c r="F102" s="62" t="b">
        <f>IF(COUNTIF(按提示输入属性!D12,E102)&gt;0,TRUE,FALSE)</f>
        <v>0</v>
      </c>
      <c r="G102" s="62"/>
      <c r="H102" s="62"/>
      <c r="I102" s="62"/>
      <c r="J102" s="62"/>
      <c r="K102" s="62">
        <v>0</v>
      </c>
      <c r="L102" s="62">
        <f>INT(K102*F342)</f>
        <v>0</v>
      </c>
      <c r="M102" s="62">
        <v>3881</v>
      </c>
      <c r="N102" s="62">
        <f>INT(M102*F344)</f>
        <v>3974</v>
      </c>
      <c r="O102" s="62">
        <v>3986</v>
      </c>
      <c r="P102" s="62">
        <f>INT(O102*F344)</f>
        <v>4082</v>
      </c>
      <c r="Q102" s="62">
        <v>0</v>
      </c>
      <c r="R102" s="62">
        <f>INT(Q102*F344)</f>
        <v>0</v>
      </c>
      <c r="S102" s="62">
        <v>3488</v>
      </c>
      <c r="T102" s="62">
        <f>INT(S102*F344)</f>
        <v>3572</v>
      </c>
      <c r="U102" s="62">
        <v>0</v>
      </c>
      <c r="V102" s="62">
        <f>INT(U102*F344)</f>
        <v>0</v>
      </c>
      <c r="W102" s="62">
        <v>2741</v>
      </c>
      <c r="X102" s="62">
        <f>INT(W102*F344)</f>
        <v>2807</v>
      </c>
      <c r="Y102" s="62">
        <v>0</v>
      </c>
      <c r="Z102" s="62">
        <v>0</v>
      </c>
      <c r="AA102" s="62">
        <v>0</v>
      </c>
      <c r="AB102" s="62">
        <v>0</v>
      </c>
      <c r="AC102" s="62">
        <v>1</v>
      </c>
      <c r="AD102" s="62">
        <v>0</v>
      </c>
      <c r="AE102" s="62">
        <v>1</v>
      </c>
      <c r="AF102" s="62">
        <v>0</v>
      </c>
      <c r="AG102" s="62">
        <v>0</v>
      </c>
      <c r="AH102" s="62">
        <v>0</v>
      </c>
      <c r="AI102" s="62">
        <v>0</v>
      </c>
      <c r="AJ102" s="62"/>
      <c r="AK102" s="62"/>
      <c r="AL102" s="62"/>
      <c r="AM102" s="62"/>
      <c r="AN102" s="62"/>
      <c r="AO102" s="62"/>
      <c r="AP102" s="62" t="s">
        <v>614</v>
      </c>
      <c r="AQ102" s="62">
        <v>3</v>
      </c>
      <c r="AR102" s="62" t="s">
        <v>473</v>
      </c>
      <c r="AS102" s="62">
        <v>1</v>
      </c>
      <c r="AT102" s="62" t="s">
        <v>450</v>
      </c>
      <c r="AU102" s="62" t="s">
        <v>450</v>
      </c>
      <c r="AV102" s="62" t="s">
        <v>450</v>
      </c>
      <c r="AW102" s="62">
        <v>0</v>
      </c>
      <c r="AX102" s="62">
        <v>0</v>
      </c>
      <c r="AY102" s="62">
        <v>0</v>
      </c>
      <c r="AZ102" s="62">
        <v>0</v>
      </c>
      <c r="BA102" s="62" t="s">
        <v>451</v>
      </c>
      <c r="BB102" s="62" t="s">
        <v>453</v>
      </c>
      <c r="BC102" s="62" t="s">
        <v>454</v>
      </c>
      <c r="BD102" s="62" t="s">
        <v>462</v>
      </c>
      <c r="BE102" s="62" t="s">
        <v>456</v>
      </c>
      <c r="BF102" s="62" t="s">
        <v>456</v>
      </c>
      <c r="BG102" s="62" t="s">
        <v>456</v>
      </c>
      <c r="BH102" s="62" t="s">
        <v>456</v>
      </c>
      <c r="BI102" s="62" t="s">
        <v>456</v>
      </c>
      <c r="BJ102" s="62" t="s">
        <v>456</v>
      </c>
      <c r="BK102" s="62" t="s">
        <v>456</v>
      </c>
      <c r="BL102" s="62" t="s">
        <v>456</v>
      </c>
      <c r="BM102" s="62">
        <v>3516</v>
      </c>
      <c r="BN102" s="62">
        <v>2859</v>
      </c>
      <c r="BO102" s="62">
        <v>3611</v>
      </c>
      <c r="BP102" s="62">
        <v>3991</v>
      </c>
      <c r="BQ102" s="62">
        <v>0</v>
      </c>
      <c r="BR102" s="62">
        <v>0</v>
      </c>
      <c r="BS102" s="62">
        <v>0</v>
      </c>
      <c r="BT102" s="62">
        <v>0</v>
      </c>
      <c r="BU102" s="62">
        <v>0</v>
      </c>
      <c r="BV102" s="62">
        <v>0</v>
      </c>
      <c r="BW102" s="62">
        <v>0</v>
      </c>
      <c r="BX102" s="62">
        <v>0</v>
      </c>
      <c r="BY102" s="62" t="s">
        <v>455</v>
      </c>
      <c r="BZ102" s="62" t="s">
        <v>453</v>
      </c>
      <c r="CA102" s="62" t="s">
        <v>456</v>
      </c>
      <c r="CB102" s="64"/>
      <c r="CC102" s="62">
        <v>2</v>
      </c>
      <c r="CD102" s="62">
        <v>2</v>
      </c>
      <c r="CE102" s="62">
        <v>0</v>
      </c>
      <c r="CF102" s="62"/>
      <c r="CG102" s="62" t="s">
        <v>449</v>
      </c>
    </row>
    <row r="103" s="52" customFormat="1" ht="13.5" spans="1:85">
      <c r="A103" s="61" t="s">
        <v>33</v>
      </c>
      <c r="B103" s="61" t="s">
        <v>632</v>
      </c>
      <c r="C103" s="61">
        <v>12600</v>
      </c>
      <c r="D103" s="61"/>
      <c r="E103" s="61" t="s">
        <v>633</v>
      </c>
      <c r="F103" s="61" t="b">
        <f>IF(COUNTIF(按提示输入属性!D12,E103)&gt;0,TRUE,FALSE)</f>
        <v>0</v>
      </c>
      <c r="G103" s="61"/>
      <c r="H103" s="61"/>
      <c r="I103" s="61"/>
      <c r="J103" s="61"/>
      <c r="K103" s="61">
        <v>880</v>
      </c>
      <c r="L103" s="61">
        <f>INT(K103*F342)</f>
        <v>946</v>
      </c>
      <c r="M103" s="61">
        <v>1713</v>
      </c>
      <c r="N103" s="61">
        <f>INT(M103*F342)</f>
        <v>1841</v>
      </c>
      <c r="O103" s="61">
        <v>4415</v>
      </c>
      <c r="P103" s="61">
        <f>INT(O103*F342)</f>
        <v>4747</v>
      </c>
      <c r="Q103" s="61">
        <v>0</v>
      </c>
      <c r="R103" s="61">
        <f>INT(Q103*F342)</f>
        <v>0</v>
      </c>
      <c r="S103" s="61">
        <v>0</v>
      </c>
      <c r="T103" s="61">
        <f>INT(S103*F342)</f>
        <v>0</v>
      </c>
      <c r="U103" s="61">
        <v>0</v>
      </c>
      <c r="V103" s="61">
        <f>INT(U103*F342)</f>
        <v>0</v>
      </c>
      <c r="W103" s="61">
        <v>3924</v>
      </c>
      <c r="X103" s="61">
        <f>INT(W103*F342)</f>
        <v>4219</v>
      </c>
      <c r="Y103" s="61">
        <v>0</v>
      </c>
      <c r="Z103" s="61">
        <v>0</v>
      </c>
      <c r="AA103" s="61">
        <v>0</v>
      </c>
      <c r="AB103" s="61">
        <v>0</v>
      </c>
      <c r="AC103" s="61">
        <v>0</v>
      </c>
      <c r="AD103" s="61">
        <v>1</v>
      </c>
      <c r="AE103" s="61">
        <v>0</v>
      </c>
      <c r="AF103" s="61">
        <v>0</v>
      </c>
      <c r="AG103" s="61">
        <v>1</v>
      </c>
      <c r="AH103" s="61">
        <v>0</v>
      </c>
      <c r="AI103" s="61">
        <v>0</v>
      </c>
      <c r="AJ103" s="61">
        <v>1</v>
      </c>
      <c r="AK103" s="61"/>
      <c r="AL103" s="61"/>
      <c r="AM103" s="61"/>
      <c r="AN103" s="61"/>
      <c r="AO103" s="61"/>
      <c r="AP103" s="61" t="s">
        <v>460</v>
      </c>
      <c r="AQ103" s="61">
        <v>6</v>
      </c>
      <c r="AR103" s="61" t="s">
        <v>503</v>
      </c>
      <c r="AS103" s="61">
        <v>1</v>
      </c>
      <c r="AT103" s="61" t="s">
        <v>450</v>
      </c>
      <c r="AU103" s="61" t="s">
        <v>450</v>
      </c>
      <c r="AV103" s="61" t="s">
        <v>450</v>
      </c>
      <c r="AW103" s="61">
        <v>4537</v>
      </c>
      <c r="AX103" s="61">
        <v>0</v>
      </c>
      <c r="AY103" s="61">
        <v>0</v>
      </c>
      <c r="AZ103" s="61">
        <v>0</v>
      </c>
      <c r="BA103" s="61" t="s">
        <v>451</v>
      </c>
      <c r="BB103" s="61" t="s">
        <v>453</v>
      </c>
      <c r="BC103" s="61" t="s">
        <v>455</v>
      </c>
      <c r="BD103" s="61" t="s">
        <v>462</v>
      </c>
      <c r="BE103" s="61" t="s">
        <v>456</v>
      </c>
      <c r="BF103" s="61" t="s">
        <v>456</v>
      </c>
      <c r="BG103" s="61" t="s">
        <v>456</v>
      </c>
      <c r="BH103" s="61" t="s">
        <v>456</v>
      </c>
      <c r="BI103" s="61" t="s">
        <v>456</v>
      </c>
      <c r="BJ103" s="61" t="s">
        <v>456</v>
      </c>
      <c r="BK103" s="61" t="s">
        <v>456</v>
      </c>
      <c r="BL103" s="61" t="s">
        <v>456</v>
      </c>
      <c r="BM103" s="61">
        <v>3516</v>
      </c>
      <c r="BN103" s="61">
        <v>2399</v>
      </c>
      <c r="BO103" s="61">
        <v>4277</v>
      </c>
      <c r="BP103" s="61">
        <v>4277</v>
      </c>
      <c r="BQ103" s="61">
        <v>0</v>
      </c>
      <c r="BR103" s="61">
        <v>0</v>
      </c>
      <c r="BS103" s="61">
        <v>0</v>
      </c>
      <c r="BT103" s="61">
        <v>0</v>
      </c>
      <c r="BU103" s="61">
        <v>0</v>
      </c>
      <c r="BV103" s="61">
        <v>0</v>
      </c>
      <c r="BW103" s="61">
        <v>0</v>
      </c>
      <c r="BX103" s="61">
        <v>0</v>
      </c>
      <c r="BY103" s="61" t="s">
        <v>454</v>
      </c>
      <c r="BZ103" s="61" t="s">
        <v>462</v>
      </c>
      <c r="CA103" s="61" t="s">
        <v>456</v>
      </c>
      <c r="CB103" s="66"/>
      <c r="CC103" s="61">
        <v>2</v>
      </c>
      <c r="CD103" s="61">
        <v>2</v>
      </c>
      <c r="CE103" s="61">
        <v>0</v>
      </c>
      <c r="CF103" s="61"/>
      <c r="CG103" s="61" t="s">
        <v>449</v>
      </c>
    </row>
    <row r="104" s="52" customFormat="1" ht="13.5" spans="1:85">
      <c r="A104" s="61" t="s">
        <v>33</v>
      </c>
      <c r="B104" s="61" t="s">
        <v>634</v>
      </c>
      <c r="C104" s="61">
        <v>12450</v>
      </c>
      <c r="D104" s="61"/>
      <c r="E104" s="61" t="s">
        <v>635</v>
      </c>
      <c r="F104" s="61" t="b">
        <f>IF(COUNTIF(按提示输入属性!D12,E104)&gt;0,TRUE,FALSE)</f>
        <v>0</v>
      </c>
      <c r="G104" s="61"/>
      <c r="H104" s="61"/>
      <c r="I104" s="61"/>
      <c r="J104" s="61"/>
      <c r="K104" s="61">
        <v>869</v>
      </c>
      <c r="L104" s="61">
        <f>INT(K104*F342)</f>
        <v>934</v>
      </c>
      <c r="M104" s="61">
        <v>1692</v>
      </c>
      <c r="N104" s="61">
        <f>INT(M104*F342)</f>
        <v>1819</v>
      </c>
      <c r="O104" s="61">
        <v>0</v>
      </c>
      <c r="P104" s="61">
        <f>INT(O104*F342)</f>
        <v>0</v>
      </c>
      <c r="Q104" s="61">
        <v>0</v>
      </c>
      <c r="R104" s="61">
        <f>INT(Q104*F342)</f>
        <v>0</v>
      </c>
      <c r="S104" s="61">
        <v>0</v>
      </c>
      <c r="T104" s="61">
        <f>INT(S104*F342)</f>
        <v>0</v>
      </c>
      <c r="U104" s="61">
        <v>0</v>
      </c>
      <c r="V104" s="61">
        <f>INT(U104*F342)</f>
        <v>0</v>
      </c>
      <c r="W104" s="61">
        <v>3877</v>
      </c>
      <c r="X104" s="61">
        <f>INT(W104*F342)</f>
        <v>4168</v>
      </c>
      <c r="Y104" s="61">
        <v>4362</v>
      </c>
      <c r="Z104" s="61">
        <v>0</v>
      </c>
      <c r="AA104" s="61">
        <v>0</v>
      </c>
      <c r="AB104" s="61">
        <v>0</v>
      </c>
      <c r="AC104" s="61">
        <v>0</v>
      </c>
      <c r="AD104" s="61">
        <v>1</v>
      </c>
      <c r="AE104" s="61">
        <v>0</v>
      </c>
      <c r="AF104" s="61">
        <v>0</v>
      </c>
      <c r="AG104" s="61">
        <v>1</v>
      </c>
      <c r="AH104" s="61">
        <v>0</v>
      </c>
      <c r="AI104" s="61">
        <v>0</v>
      </c>
      <c r="AJ104" s="61"/>
      <c r="AK104" s="61"/>
      <c r="AL104" s="61"/>
      <c r="AM104" s="61"/>
      <c r="AN104" s="61"/>
      <c r="AO104" s="61"/>
      <c r="AP104" s="61" t="s">
        <v>602</v>
      </c>
      <c r="AQ104" s="61">
        <v>6</v>
      </c>
      <c r="AR104" s="61" t="s">
        <v>449</v>
      </c>
      <c r="AS104" s="61">
        <v>1</v>
      </c>
      <c r="AT104" s="61" t="s">
        <v>450</v>
      </c>
      <c r="AU104" s="61" t="s">
        <v>450</v>
      </c>
      <c r="AV104" s="61" t="s">
        <v>450</v>
      </c>
      <c r="AW104" s="61">
        <v>4483</v>
      </c>
      <c r="AX104" s="61">
        <v>0</v>
      </c>
      <c r="AY104" s="61">
        <v>0</v>
      </c>
      <c r="AZ104" s="61">
        <v>0</v>
      </c>
      <c r="BA104" s="61" t="s">
        <v>451</v>
      </c>
      <c r="BB104" s="61" t="s">
        <v>453</v>
      </c>
      <c r="BC104" s="61" t="s">
        <v>462</v>
      </c>
      <c r="BD104" s="61" t="s">
        <v>456</v>
      </c>
      <c r="BE104" s="61" t="s">
        <v>456</v>
      </c>
      <c r="BF104" s="61" t="s">
        <v>456</v>
      </c>
      <c r="BG104" s="61" t="s">
        <v>456</v>
      </c>
      <c r="BH104" s="61" t="s">
        <v>456</v>
      </c>
      <c r="BI104" s="61" t="s">
        <v>456</v>
      </c>
      <c r="BJ104" s="61" t="s">
        <v>456</v>
      </c>
      <c r="BK104" s="61" t="s">
        <v>456</v>
      </c>
      <c r="BL104" s="61" t="s">
        <v>456</v>
      </c>
      <c r="BM104" s="61">
        <v>3516</v>
      </c>
      <c r="BN104" s="61">
        <v>3472</v>
      </c>
      <c r="BO104" s="61">
        <v>6367</v>
      </c>
      <c r="BP104" s="61">
        <v>0</v>
      </c>
      <c r="BQ104" s="61">
        <v>0</v>
      </c>
      <c r="BR104" s="61">
        <v>0</v>
      </c>
      <c r="BS104" s="61">
        <v>0</v>
      </c>
      <c r="BT104" s="61">
        <v>0</v>
      </c>
      <c r="BU104" s="61">
        <v>0</v>
      </c>
      <c r="BV104" s="61">
        <v>0</v>
      </c>
      <c r="BW104" s="61">
        <v>0</v>
      </c>
      <c r="BX104" s="61">
        <v>0</v>
      </c>
      <c r="BY104" s="61" t="s">
        <v>454</v>
      </c>
      <c r="BZ104" s="61" t="s">
        <v>462</v>
      </c>
      <c r="CA104" s="61" t="s">
        <v>456</v>
      </c>
      <c r="CB104" s="66"/>
      <c r="CC104" s="61">
        <v>2</v>
      </c>
      <c r="CD104" s="61">
        <v>2</v>
      </c>
      <c r="CE104" s="61">
        <v>0</v>
      </c>
      <c r="CF104" s="61"/>
      <c r="CG104" s="61" t="s">
        <v>449</v>
      </c>
    </row>
    <row r="105" s="52" customFormat="1" ht="13.5" spans="1:85">
      <c r="A105" s="61" t="s">
        <v>33</v>
      </c>
      <c r="B105" s="61" t="s">
        <v>636</v>
      </c>
      <c r="C105" s="61">
        <v>12450</v>
      </c>
      <c r="D105" s="61"/>
      <c r="E105" s="61" t="s">
        <v>637</v>
      </c>
      <c r="F105" s="61" t="b">
        <f>IF(COUNTIF(按提示输入属性!D12,E105)&gt;0,TRUE,FALSE)</f>
        <v>0</v>
      </c>
      <c r="G105" s="61"/>
      <c r="H105" s="61"/>
      <c r="I105" s="61"/>
      <c r="J105" s="61"/>
      <c r="K105" s="61">
        <v>869</v>
      </c>
      <c r="L105" s="61">
        <f>INT(K105*F342)</f>
        <v>934</v>
      </c>
      <c r="M105" s="61">
        <v>1692</v>
      </c>
      <c r="N105" s="61">
        <f>INT(M105*F342)</f>
        <v>1819</v>
      </c>
      <c r="O105" s="61">
        <v>0</v>
      </c>
      <c r="P105" s="61">
        <f>INT(O105*F342)</f>
        <v>0</v>
      </c>
      <c r="Q105" s="61">
        <v>0</v>
      </c>
      <c r="R105" s="61">
        <f>INT(Q105*F342)</f>
        <v>0</v>
      </c>
      <c r="S105" s="61">
        <v>4362</v>
      </c>
      <c r="T105" s="61">
        <f>INT(S105*F342)</f>
        <v>4690</v>
      </c>
      <c r="U105" s="61">
        <v>3877</v>
      </c>
      <c r="V105" s="61">
        <f>INT(U105*F342)</f>
        <v>4168</v>
      </c>
      <c r="W105" s="61">
        <v>0</v>
      </c>
      <c r="X105" s="61">
        <f>INT(W105*F342)</f>
        <v>0</v>
      </c>
      <c r="Y105" s="61">
        <v>0</v>
      </c>
      <c r="Z105" s="61">
        <v>0</v>
      </c>
      <c r="AA105" s="61">
        <v>0</v>
      </c>
      <c r="AB105" s="61">
        <v>0</v>
      </c>
      <c r="AC105" s="61">
        <v>0</v>
      </c>
      <c r="AD105" s="61">
        <v>0</v>
      </c>
      <c r="AE105" s="61">
        <v>0</v>
      </c>
      <c r="AF105" s="61">
        <v>1</v>
      </c>
      <c r="AG105" s="61">
        <v>1</v>
      </c>
      <c r="AH105" s="61">
        <v>0</v>
      </c>
      <c r="AI105" s="61">
        <v>0</v>
      </c>
      <c r="AJ105" s="61"/>
      <c r="AK105" s="61"/>
      <c r="AL105" s="61"/>
      <c r="AM105" s="61"/>
      <c r="AN105" s="61"/>
      <c r="AO105" s="61"/>
      <c r="AP105" s="61" t="s">
        <v>465</v>
      </c>
      <c r="AQ105" s="61">
        <v>6</v>
      </c>
      <c r="AR105" s="61" t="s">
        <v>449</v>
      </c>
      <c r="AS105" s="61">
        <v>1</v>
      </c>
      <c r="AT105" s="61" t="s">
        <v>450</v>
      </c>
      <c r="AU105" s="61" t="s">
        <v>450</v>
      </c>
      <c r="AV105" s="61" t="s">
        <v>450</v>
      </c>
      <c r="AW105" s="61">
        <v>4483</v>
      </c>
      <c r="AX105" s="61">
        <v>0</v>
      </c>
      <c r="AY105" s="61">
        <v>0</v>
      </c>
      <c r="AZ105" s="61">
        <v>0</v>
      </c>
      <c r="BA105" s="61" t="s">
        <v>451</v>
      </c>
      <c r="BB105" s="61" t="s">
        <v>453</v>
      </c>
      <c r="BC105" s="61" t="s">
        <v>455</v>
      </c>
      <c r="BD105" s="61" t="s">
        <v>454</v>
      </c>
      <c r="BE105" s="61" t="s">
        <v>456</v>
      </c>
      <c r="BF105" s="61" t="s">
        <v>456</v>
      </c>
      <c r="BG105" s="61" t="s">
        <v>456</v>
      </c>
      <c r="BH105" s="61" t="s">
        <v>456</v>
      </c>
      <c r="BI105" s="61" t="s">
        <v>456</v>
      </c>
      <c r="BJ105" s="61" t="s">
        <v>456</v>
      </c>
      <c r="BK105" s="61" t="s">
        <v>456</v>
      </c>
      <c r="BL105" s="61" t="s">
        <v>456</v>
      </c>
      <c r="BM105" s="61">
        <v>3516</v>
      </c>
      <c r="BN105" s="61">
        <v>2859</v>
      </c>
      <c r="BO105" s="61">
        <v>3991</v>
      </c>
      <c r="BP105" s="61">
        <v>3611</v>
      </c>
      <c r="BQ105" s="61">
        <v>0</v>
      </c>
      <c r="BR105" s="61">
        <v>0</v>
      </c>
      <c r="BS105" s="61">
        <v>0</v>
      </c>
      <c r="BT105" s="61">
        <v>0</v>
      </c>
      <c r="BU105" s="61">
        <v>0</v>
      </c>
      <c r="BV105" s="61">
        <v>0</v>
      </c>
      <c r="BW105" s="61">
        <v>0</v>
      </c>
      <c r="BX105" s="61">
        <v>0</v>
      </c>
      <c r="BY105" s="61" t="s">
        <v>487</v>
      </c>
      <c r="BZ105" s="61" t="s">
        <v>453</v>
      </c>
      <c r="CA105" s="61" t="s">
        <v>456</v>
      </c>
      <c r="CB105" s="66"/>
      <c r="CC105" s="61">
        <v>2</v>
      </c>
      <c r="CD105" s="61">
        <v>2</v>
      </c>
      <c r="CE105" s="61">
        <v>0</v>
      </c>
      <c r="CF105" s="61"/>
      <c r="CG105" s="61" t="s">
        <v>449</v>
      </c>
    </row>
    <row r="106" s="54" customFormat="1" ht="13.5" spans="1:85">
      <c r="A106" s="63" t="s">
        <v>33</v>
      </c>
      <c r="B106" s="63" t="s">
        <v>638</v>
      </c>
      <c r="C106" s="63">
        <v>12450</v>
      </c>
      <c r="D106" s="63"/>
      <c r="E106" s="63" t="s">
        <v>639</v>
      </c>
      <c r="F106" s="63" t="b">
        <f>IF(COUNTIF(按提示输入属性!D12,E106)&gt;0,TRUE,FALSE)</f>
        <v>0</v>
      </c>
      <c r="G106" s="63"/>
      <c r="H106" s="63"/>
      <c r="I106" s="63"/>
      <c r="J106" s="63"/>
      <c r="K106" s="63">
        <v>0</v>
      </c>
      <c r="L106" s="63">
        <f>INT(K106*F342)</f>
        <v>0</v>
      </c>
      <c r="M106" s="63">
        <v>3124</v>
      </c>
      <c r="N106" s="63">
        <f>INT(M106*F343)</f>
        <v>3242</v>
      </c>
      <c r="O106" s="63">
        <v>3150</v>
      </c>
      <c r="P106" s="63">
        <f>INT(O106*F343)</f>
        <v>3269</v>
      </c>
      <c r="Q106" s="63">
        <v>0</v>
      </c>
      <c r="R106" s="63">
        <f>INT(Q106*F342)</f>
        <v>0</v>
      </c>
      <c r="S106" s="63">
        <v>0</v>
      </c>
      <c r="T106" s="63">
        <f>INT(S106*F343)</f>
        <v>0</v>
      </c>
      <c r="U106" s="63">
        <v>0</v>
      </c>
      <c r="V106" s="63">
        <f>INT(U106*F343)</f>
        <v>0</v>
      </c>
      <c r="W106" s="63">
        <v>7755</v>
      </c>
      <c r="X106" s="63">
        <f>INT(W106*F343)</f>
        <v>8050</v>
      </c>
      <c r="Y106" s="63">
        <v>0</v>
      </c>
      <c r="Z106" s="63">
        <v>0</v>
      </c>
      <c r="AA106" s="63">
        <v>0</v>
      </c>
      <c r="AB106" s="63">
        <v>0</v>
      </c>
      <c r="AC106" s="63">
        <v>1</v>
      </c>
      <c r="AD106" s="63">
        <v>0</v>
      </c>
      <c r="AE106" s="63">
        <v>0</v>
      </c>
      <c r="AF106" s="63">
        <v>0</v>
      </c>
      <c r="AG106" s="63">
        <v>1</v>
      </c>
      <c r="AH106" s="63">
        <v>0</v>
      </c>
      <c r="AI106" s="63">
        <v>0</v>
      </c>
      <c r="AJ106" s="63"/>
      <c r="AK106" s="63"/>
      <c r="AL106" s="63"/>
      <c r="AM106" s="63"/>
      <c r="AN106" s="63"/>
      <c r="AO106" s="63"/>
      <c r="AP106" s="63" t="s">
        <v>551</v>
      </c>
      <c r="AQ106" s="63">
        <v>4</v>
      </c>
      <c r="AR106" s="63" t="s">
        <v>449</v>
      </c>
      <c r="AS106" s="63">
        <v>1</v>
      </c>
      <c r="AT106" s="63" t="s">
        <v>450</v>
      </c>
      <c r="AU106" s="63" t="s">
        <v>450</v>
      </c>
      <c r="AV106" s="63" t="s">
        <v>450</v>
      </c>
      <c r="AW106" s="63">
        <v>4483</v>
      </c>
      <c r="AX106" s="63">
        <v>0</v>
      </c>
      <c r="AY106" s="63">
        <v>0</v>
      </c>
      <c r="AZ106" s="63">
        <v>0</v>
      </c>
      <c r="BA106" s="63" t="s">
        <v>451</v>
      </c>
      <c r="BB106" s="63" t="s">
        <v>453</v>
      </c>
      <c r="BC106" s="63" t="s">
        <v>462</v>
      </c>
      <c r="BD106" s="63" t="s">
        <v>456</v>
      </c>
      <c r="BE106" s="63" t="s">
        <v>456</v>
      </c>
      <c r="BF106" s="63" t="s">
        <v>456</v>
      </c>
      <c r="BG106" s="63" t="s">
        <v>456</v>
      </c>
      <c r="BH106" s="63" t="s">
        <v>456</v>
      </c>
      <c r="BI106" s="63" t="s">
        <v>456</v>
      </c>
      <c r="BJ106" s="63" t="s">
        <v>456</v>
      </c>
      <c r="BK106" s="63" t="s">
        <v>456</v>
      </c>
      <c r="BL106" s="63" t="s">
        <v>456</v>
      </c>
      <c r="BM106" s="63">
        <v>5023</v>
      </c>
      <c r="BN106" s="63">
        <v>4959</v>
      </c>
      <c r="BO106" s="63">
        <v>9096</v>
      </c>
      <c r="BP106" s="63">
        <v>0</v>
      </c>
      <c r="BQ106" s="63">
        <v>0</v>
      </c>
      <c r="BR106" s="63">
        <v>0</v>
      </c>
      <c r="BS106" s="63">
        <v>0</v>
      </c>
      <c r="BT106" s="63">
        <v>0</v>
      </c>
      <c r="BU106" s="63">
        <v>0</v>
      </c>
      <c r="BV106" s="63">
        <v>0</v>
      </c>
      <c r="BW106" s="63">
        <v>0</v>
      </c>
      <c r="BX106" s="63">
        <v>0</v>
      </c>
      <c r="BY106" s="63" t="s">
        <v>454</v>
      </c>
      <c r="BZ106" s="63" t="s">
        <v>462</v>
      </c>
      <c r="CA106" s="63" t="s">
        <v>456</v>
      </c>
      <c r="CB106" s="65"/>
      <c r="CC106" s="63">
        <v>2</v>
      </c>
      <c r="CD106" s="63">
        <v>2</v>
      </c>
      <c r="CE106" s="63">
        <v>0</v>
      </c>
      <c r="CF106" s="63"/>
      <c r="CG106" s="63" t="s">
        <v>449</v>
      </c>
    </row>
    <row r="107" s="54" customFormat="1" ht="13.5" spans="1:85">
      <c r="A107" s="63" t="s">
        <v>33</v>
      </c>
      <c r="B107" s="63" t="s">
        <v>640</v>
      </c>
      <c r="C107" s="63">
        <v>12450</v>
      </c>
      <c r="D107" s="63"/>
      <c r="E107" s="63" t="s">
        <v>641</v>
      </c>
      <c r="F107" s="63" t="b">
        <f>IF(COUNTIF(按提示输入属性!D12,E107)&gt;0,TRUE,FALSE)</f>
        <v>0</v>
      </c>
      <c r="G107" s="63"/>
      <c r="H107" s="63"/>
      <c r="I107" s="63"/>
      <c r="J107" s="63"/>
      <c r="K107" s="63">
        <v>0</v>
      </c>
      <c r="L107" s="63">
        <f>INT(K107*F342)</f>
        <v>0</v>
      </c>
      <c r="M107" s="63">
        <v>3645</v>
      </c>
      <c r="N107" s="63">
        <f>INT(M107*F343)</f>
        <v>3783</v>
      </c>
      <c r="O107" s="63">
        <v>0</v>
      </c>
      <c r="P107" s="61">
        <f>INT(O107*F343)</f>
        <v>0</v>
      </c>
      <c r="Q107" s="63">
        <v>0</v>
      </c>
      <c r="R107" s="61">
        <f>INT(Q107*F342)</f>
        <v>0</v>
      </c>
      <c r="S107" s="63">
        <v>4604</v>
      </c>
      <c r="T107" s="61">
        <f>INT(S107*F343)</f>
        <v>4779</v>
      </c>
      <c r="U107" s="63">
        <v>5089</v>
      </c>
      <c r="V107" s="61">
        <f>INT(U107*F343)</f>
        <v>5282</v>
      </c>
      <c r="W107" s="63">
        <v>0</v>
      </c>
      <c r="X107" s="61">
        <f>INT(W107*F343)</f>
        <v>0</v>
      </c>
      <c r="Y107" s="63">
        <v>0</v>
      </c>
      <c r="Z107" s="63">
        <v>0</v>
      </c>
      <c r="AA107" s="63">
        <v>0</v>
      </c>
      <c r="AB107" s="63">
        <v>0</v>
      </c>
      <c r="AC107" s="63">
        <v>1</v>
      </c>
      <c r="AD107" s="63">
        <v>1</v>
      </c>
      <c r="AE107" s="63">
        <v>0</v>
      </c>
      <c r="AF107" s="63">
        <v>0</v>
      </c>
      <c r="AG107" s="63">
        <v>0</v>
      </c>
      <c r="AH107" s="63">
        <v>0</v>
      </c>
      <c r="AI107" s="63">
        <v>0</v>
      </c>
      <c r="AJ107" s="63"/>
      <c r="AK107" s="63"/>
      <c r="AL107" s="63"/>
      <c r="AM107" s="63"/>
      <c r="AN107" s="63"/>
      <c r="AO107" s="63"/>
      <c r="AP107" s="63" t="s">
        <v>521</v>
      </c>
      <c r="AQ107" s="63">
        <v>4</v>
      </c>
      <c r="AR107" s="63" t="s">
        <v>449</v>
      </c>
      <c r="AS107" s="63">
        <v>1</v>
      </c>
      <c r="AT107" s="63" t="s">
        <v>450</v>
      </c>
      <c r="AU107" s="63" t="s">
        <v>450</v>
      </c>
      <c r="AV107" s="63" t="s">
        <v>450</v>
      </c>
      <c r="AW107" s="63">
        <v>4483</v>
      </c>
      <c r="AX107" s="63">
        <v>0</v>
      </c>
      <c r="AY107" s="63">
        <v>0</v>
      </c>
      <c r="AZ107" s="63">
        <v>0</v>
      </c>
      <c r="BA107" s="63" t="s">
        <v>451</v>
      </c>
      <c r="BB107" s="63" t="s">
        <v>453</v>
      </c>
      <c r="BC107" s="63" t="s">
        <v>487</v>
      </c>
      <c r="BD107" s="63" t="s">
        <v>462</v>
      </c>
      <c r="BE107" s="63" t="s">
        <v>456</v>
      </c>
      <c r="BF107" s="63" t="s">
        <v>456</v>
      </c>
      <c r="BG107" s="63" t="s">
        <v>456</v>
      </c>
      <c r="BH107" s="63" t="s">
        <v>456</v>
      </c>
      <c r="BI107" s="63" t="s">
        <v>456</v>
      </c>
      <c r="BJ107" s="63" t="s">
        <v>456</v>
      </c>
      <c r="BK107" s="63" t="s">
        <v>456</v>
      </c>
      <c r="BL107" s="63" t="s">
        <v>456</v>
      </c>
      <c r="BM107" s="63">
        <v>5023</v>
      </c>
      <c r="BN107" s="63">
        <v>3501</v>
      </c>
      <c r="BO107" s="63">
        <v>3530</v>
      </c>
      <c r="BP107" s="63">
        <v>8689</v>
      </c>
      <c r="BQ107" s="63">
        <v>0</v>
      </c>
      <c r="BR107" s="63">
        <v>0</v>
      </c>
      <c r="BS107" s="63">
        <v>0</v>
      </c>
      <c r="BT107" s="63">
        <v>0</v>
      </c>
      <c r="BU107" s="63">
        <v>0</v>
      </c>
      <c r="BV107" s="63">
        <v>0</v>
      </c>
      <c r="BW107" s="63">
        <v>0</v>
      </c>
      <c r="BX107" s="63">
        <v>0</v>
      </c>
      <c r="BY107" s="63" t="s">
        <v>455</v>
      </c>
      <c r="BZ107" s="63" t="s">
        <v>453</v>
      </c>
      <c r="CA107" s="63" t="s">
        <v>456</v>
      </c>
      <c r="CB107" s="65"/>
      <c r="CC107" s="63">
        <v>2</v>
      </c>
      <c r="CD107" s="63">
        <v>2</v>
      </c>
      <c r="CE107" s="63">
        <v>0</v>
      </c>
      <c r="CF107" s="63"/>
      <c r="CG107" s="63" t="s">
        <v>449</v>
      </c>
    </row>
    <row r="108" s="54" customFormat="1" ht="13.5" spans="1:85">
      <c r="A108" s="63" t="s">
        <v>33</v>
      </c>
      <c r="B108" s="63" t="s">
        <v>642</v>
      </c>
      <c r="C108" s="63">
        <v>12450</v>
      </c>
      <c r="D108" s="63"/>
      <c r="E108" s="63" t="s">
        <v>643</v>
      </c>
      <c r="F108" s="63" t="b">
        <f>IF(COUNTIF(按提示输入属性!D12,E108)&gt;0,TRUE,FALSE)</f>
        <v>0</v>
      </c>
      <c r="G108" s="63"/>
      <c r="H108" s="63"/>
      <c r="I108" s="63"/>
      <c r="J108" s="63"/>
      <c r="K108" s="63">
        <v>0</v>
      </c>
      <c r="L108" s="63">
        <f>INT(K108*F342)</f>
        <v>0</v>
      </c>
      <c r="M108" s="63">
        <v>4426</v>
      </c>
      <c r="N108" s="63">
        <f>INT(M108*F343)</f>
        <v>4594</v>
      </c>
      <c r="O108" s="63">
        <v>0</v>
      </c>
      <c r="P108" s="61">
        <f>INT(O108*F343)</f>
        <v>0</v>
      </c>
      <c r="Q108" s="63">
        <v>0</v>
      </c>
      <c r="R108" s="61">
        <f>INT(Q108*F342)</f>
        <v>0</v>
      </c>
      <c r="S108" s="63">
        <v>0</v>
      </c>
      <c r="T108" s="61">
        <f>INT(S108*F343)</f>
        <v>0</v>
      </c>
      <c r="U108" s="63">
        <v>8118</v>
      </c>
      <c r="V108" s="61">
        <f>INT(U108*F343)</f>
        <v>8426</v>
      </c>
      <c r="W108" s="63">
        <v>0</v>
      </c>
      <c r="X108" s="61">
        <f>INT(W108*F343)</f>
        <v>0</v>
      </c>
      <c r="Y108" s="63">
        <v>0</v>
      </c>
      <c r="Z108" s="63">
        <v>0</v>
      </c>
      <c r="AA108" s="63">
        <v>0</v>
      </c>
      <c r="AB108" s="63">
        <v>0</v>
      </c>
      <c r="AC108" s="63">
        <v>0</v>
      </c>
      <c r="AD108" s="63">
        <v>1</v>
      </c>
      <c r="AE108" s="63">
        <v>0</v>
      </c>
      <c r="AF108" s="63">
        <v>0</v>
      </c>
      <c r="AG108" s="63">
        <v>1</v>
      </c>
      <c r="AH108" s="63">
        <v>0</v>
      </c>
      <c r="AI108" s="63">
        <v>0</v>
      </c>
      <c r="AJ108" s="63"/>
      <c r="AK108" s="63"/>
      <c r="AL108" s="63"/>
      <c r="AM108" s="63"/>
      <c r="AN108" s="63"/>
      <c r="AO108" s="63"/>
      <c r="AP108" s="63" t="s">
        <v>554</v>
      </c>
      <c r="AQ108" s="63">
        <v>4</v>
      </c>
      <c r="AR108" s="63" t="s">
        <v>449</v>
      </c>
      <c r="AS108" s="63">
        <v>1</v>
      </c>
      <c r="AT108" s="63" t="s">
        <v>450</v>
      </c>
      <c r="AU108" s="63" t="s">
        <v>450</v>
      </c>
      <c r="AV108" s="63" t="s">
        <v>450</v>
      </c>
      <c r="AW108" s="63">
        <v>4483</v>
      </c>
      <c r="AX108" s="63">
        <v>0</v>
      </c>
      <c r="AY108" s="63">
        <v>0</v>
      </c>
      <c r="AZ108" s="63">
        <v>0</v>
      </c>
      <c r="BA108" s="63" t="s">
        <v>451</v>
      </c>
      <c r="BB108" s="63" t="s">
        <v>452</v>
      </c>
      <c r="BC108" s="63" t="s">
        <v>453</v>
      </c>
      <c r="BD108" s="63" t="s">
        <v>454</v>
      </c>
      <c r="BE108" s="63" t="s">
        <v>455</v>
      </c>
      <c r="BF108" s="63" t="s">
        <v>456</v>
      </c>
      <c r="BG108" s="63" t="s">
        <v>456</v>
      </c>
      <c r="BH108" s="63" t="s">
        <v>456</v>
      </c>
      <c r="BI108" s="63" t="s">
        <v>456</v>
      </c>
      <c r="BJ108" s="63" t="s">
        <v>456</v>
      </c>
      <c r="BK108" s="63" t="s">
        <v>456</v>
      </c>
      <c r="BL108" s="63" t="s">
        <v>456</v>
      </c>
      <c r="BM108" s="63">
        <v>3516</v>
      </c>
      <c r="BN108" s="63">
        <v>682</v>
      </c>
      <c r="BO108" s="63">
        <v>1327</v>
      </c>
      <c r="BP108" s="63">
        <v>3421</v>
      </c>
      <c r="BQ108" s="63">
        <v>3041</v>
      </c>
      <c r="BR108" s="63">
        <v>0</v>
      </c>
      <c r="BS108" s="63">
        <v>0</v>
      </c>
      <c r="BT108" s="63">
        <v>0</v>
      </c>
      <c r="BU108" s="63">
        <v>0</v>
      </c>
      <c r="BV108" s="63">
        <v>0</v>
      </c>
      <c r="BW108" s="63">
        <v>0</v>
      </c>
      <c r="BX108" s="63">
        <v>0</v>
      </c>
      <c r="BY108" s="63" t="s">
        <v>453</v>
      </c>
      <c r="BZ108" s="63" t="s">
        <v>454</v>
      </c>
      <c r="CA108" s="63" t="s">
        <v>456</v>
      </c>
      <c r="CB108" s="65"/>
      <c r="CC108" s="63">
        <v>2</v>
      </c>
      <c r="CD108" s="63">
        <v>2</v>
      </c>
      <c r="CE108" s="63">
        <v>0</v>
      </c>
      <c r="CF108" s="63"/>
      <c r="CG108" s="63" t="s">
        <v>500</v>
      </c>
    </row>
    <row r="109" s="54" customFormat="1" ht="13.5" spans="1:85">
      <c r="A109" s="63" t="s">
        <v>33</v>
      </c>
      <c r="B109" s="63" t="s">
        <v>644</v>
      </c>
      <c r="C109" s="63">
        <v>12450</v>
      </c>
      <c r="D109" s="63"/>
      <c r="E109" s="63" t="s">
        <v>645</v>
      </c>
      <c r="F109" s="63" t="b">
        <f>IF(COUNTIF(按提示输入属性!D12,E109)&gt;0,TRUE,FALSE)</f>
        <v>0</v>
      </c>
      <c r="G109" s="63"/>
      <c r="H109" s="63"/>
      <c r="I109" s="63"/>
      <c r="J109" s="63"/>
      <c r="K109" s="63">
        <v>0</v>
      </c>
      <c r="L109" s="63">
        <f>INT(K109*F342)</f>
        <v>0</v>
      </c>
      <c r="M109" s="63">
        <v>3645</v>
      </c>
      <c r="N109" s="63">
        <f>INT(M109*F343)</f>
        <v>3783</v>
      </c>
      <c r="O109" s="63">
        <v>0</v>
      </c>
      <c r="P109" s="61">
        <f>INT(O109*F343)</f>
        <v>0</v>
      </c>
      <c r="Q109" s="63">
        <v>0</v>
      </c>
      <c r="R109" s="61">
        <f>INT(Q109*F342)</f>
        <v>0</v>
      </c>
      <c r="S109" s="63">
        <v>4604</v>
      </c>
      <c r="T109" s="61">
        <f>INT(S109*F343)</f>
        <v>4779</v>
      </c>
      <c r="U109" s="63">
        <v>0</v>
      </c>
      <c r="V109" s="61">
        <f>INT(U109*F343)</f>
        <v>0</v>
      </c>
      <c r="W109" s="63">
        <v>5089</v>
      </c>
      <c r="X109" s="61">
        <f>INT(W109*F343)</f>
        <v>5282</v>
      </c>
      <c r="Y109" s="63">
        <v>0</v>
      </c>
      <c r="Z109" s="63">
        <v>0</v>
      </c>
      <c r="AA109" s="63">
        <v>0</v>
      </c>
      <c r="AB109" s="63">
        <v>0</v>
      </c>
      <c r="AC109" s="63">
        <v>1</v>
      </c>
      <c r="AD109" s="63">
        <v>0</v>
      </c>
      <c r="AE109" s="63">
        <v>0</v>
      </c>
      <c r="AF109" s="63">
        <v>0</v>
      </c>
      <c r="AG109" s="63">
        <v>1</v>
      </c>
      <c r="AH109" s="63">
        <v>0</v>
      </c>
      <c r="AI109" s="63">
        <v>0</v>
      </c>
      <c r="AJ109" s="63"/>
      <c r="AK109" s="63"/>
      <c r="AL109" s="63"/>
      <c r="AM109" s="63"/>
      <c r="AN109" s="63"/>
      <c r="AO109" s="63"/>
      <c r="AP109" s="63" t="s">
        <v>548</v>
      </c>
      <c r="AQ109" s="63">
        <v>4</v>
      </c>
      <c r="AR109" s="63" t="s">
        <v>449</v>
      </c>
      <c r="AS109" s="63">
        <v>1</v>
      </c>
      <c r="AT109" s="63" t="s">
        <v>450</v>
      </c>
      <c r="AU109" s="63" t="s">
        <v>450</v>
      </c>
      <c r="AV109" s="63" t="s">
        <v>450</v>
      </c>
      <c r="AW109" s="63">
        <v>4483</v>
      </c>
      <c r="AX109" s="63">
        <v>0</v>
      </c>
      <c r="AY109" s="63">
        <v>0</v>
      </c>
      <c r="AZ109" s="63">
        <v>0</v>
      </c>
      <c r="BA109" s="63" t="s">
        <v>451</v>
      </c>
      <c r="BB109" s="63" t="s">
        <v>452</v>
      </c>
      <c r="BC109" s="63" t="s">
        <v>453</v>
      </c>
      <c r="BD109" s="63" t="s">
        <v>454</v>
      </c>
      <c r="BE109" s="63" t="s">
        <v>462</v>
      </c>
      <c r="BF109" s="63" t="s">
        <v>456</v>
      </c>
      <c r="BG109" s="63" t="s">
        <v>456</v>
      </c>
      <c r="BH109" s="63" t="s">
        <v>456</v>
      </c>
      <c r="BI109" s="63" t="s">
        <v>456</v>
      </c>
      <c r="BJ109" s="63" t="s">
        <v>456</v>
      </c>
      <c r="BK109" s="63" t="s">
        <v>456</v>
      </c>
      <c r="BL109" s="63" t="s">
        <v>456</v>
      </c>
      <c r="BM109" s="63">
        <v>5023</v>
      </c>
      <c r="BN109" s="63">
        <v>974</v>
      </c>
      <c r="BO109" s="63">
        <v>1896</v>
      </c>
      <c r="BP109" s="63">
        <v>4888</v>
      </c>
      <c r="BQ109" s="63">
        <v>4344</v>
      </c>
      <c r="BR109" s="63">
        <v>0</v>
      </c>
      <c r="BS109" s="63">
        <v>0</v>
      </c>
      <c r="BT109" s="63">
        <v>0</v>
      </c>
      <c r="BU109" s="63">
        <v>0</v>
      </c>
      <c r="BV109" s="63">
        <v>0</v>
      </c>
      <c r="BW109" s="63">
        <v>0</v>
      </c>
      <c r="BX109" s="63">
        <v>0</v>
      </c>
      <c r="BY109" s="63" t="s">
        <v>453</v>
      </c>
      <c r="BZ109" s="63" t="s">
        <v>461</v>
      </c>
      <c r="CA109" s="63" t="s">
        <v>456</v>
      </c>
      <c r="CB109" s="65"/>
      <c r="CC109" s="63">
        <v>2</v>
      </c>
      <c r="CD109" s="63">
        <v>2</v>
      </c>
      <c r="CE109" s="63">
        <v>0</v>
      </c>
      <c r="CF109" s="63"/>
      <c r="CG109" s="63" t="s">
        <v>500</v>
      </c>
    </row>
    <row r="110" s="52" customFormat="1" ht="13.5" spans="1:85">
      <c r="A110" s="61" t="s">
        <v>33</v>
      </c>
      <c r="B110" s="61" t="s">
        <v>646</v>
      </c>
      <c r="C110" s="61">
        <v>12450</v>
      </c>
      <c r="D110" s="61"/>
      <c r="E110" s="61" t="s">
        <v>647</v>
      </c>
      <c r="F110" s="61" t="b">
        <f>IF(COUNTIF(按提示输入属性!D12,E110)&gt;0,TRUE,FALSE)</f>
        <v>0</v>
      </c>
      <c r="G110" s="61"/>
      <c r="H110" s="61"/>
      <c r="I110" s="61"/>
      <c r="J110" s="61"/>
      <c r="K110" s="61">
        <v>869</v>
      </c>
      <c r="L110" s="61">
        <f>INT(K110*F342)</f>
        <v>934</v>
      </c>
      <c r="M110" s="61">
        <v>1692</v>
      </c>
      <c r="N110" s="61">
        <f>INT(M110*F342)</f>
        <v>1819</v>
      </c>
      <c r="O110" s="61">
        <v>0</v>
      </c>
      <c r="P110" s="61">
        <f>INT(O110*F342)</f>
        <v>0</v>
      </c>
      <c r="Q110" s="61">
        <v>0</v>
      </c>
      <c r="R110" s="61">
        <f>INT(Q110*F342)</f>
        <v>0</v>
      </c>
      <c r="S110" s="61">
        <v>4362</v>
      </c>
      <c r="T110" s="61">
        <f>INT(S110*F342)</f>
        <v>4690</v>
      </c>
      <c r="U110" s="61">
        <v>0</v>
      </c>
      <c r="V110" s="61">
        <f>INT(U110*F342)</f>
        <v>0</v>
      </c>
      <c r="W110" s="61">
        <v>3877</v>
      </c>
      <c r="X110" s="61">
        <f>INT(W110*F342)</f>
        <v>4168</v>
      </c>
      <c r="Y110" s="61">
        <v>0</v>
      </c>
      <c r="Z110" s="61">
        <v>0</v>
      </c>
      <c r="AA110" s="61">
        <v>0</v>
      </c>
      <c r="AB110" s="61">
        <v>0</v>
      </c>
      <c r="AC110" s="61">
        <v>1</v>
      </c>
      <c r="AD110" s="61">
        <v>1</v>
      </c>
      <c r="AE110" s="61">
        <v>0</v>
      </c>
      <c r="AF110" s="61">
        <v>0</v>
      </c>
      <c r="AG110" s="61">
        <v>0</v>
      </c>
      <c r="AH110" s="61">
        <v>0</v>
      </c>
      <c r="AI110" s="61">
        <v>0</v>
      </c>
      <c r="AJ110" s="61"/>
      <c r="AK110" s="61"/>
      <c r="AL110" s="61"/>
      <c r="AM110" s="61"/>
      <c r="AN110" s="61"/>
      <c r="AO110" s="61"/>
      <c r="AP110" s="61" t="s">
        <v>486</v>
      </c>
      <c r="AQ110" s="61">
        <v>6</v>
      </c>
      <c r="AR110" s="61" t="s">
        <v>524</v>
      </c>
      <c r="AS110" s="61">
        <v>1</v>
      </c>
      <c r="AT110" s="61" t="s">
        <v>450</v>
      </c>
      <c r="AU110" s="61" t="s">
        <v>450</v>
      </c>
      <c r="AV110" s="61" t="s">
        <v>450</v>
      </c>
      <c r="AW110" s="61">
        <v>4483</v>
      </c>
      <c r="AX110" s="61">
        <v>0</v>
      </c>
      <c r="AY110" s="61">
        <v>0</v>
      </c>
      <c r="AZ110" s="61">
        <v>0</v>
      </c>
      <c r="BA110" s="61" t="s">
        <v>451</v>
      </c>
      <c r="BB110" s="61" t="s">
        <v>452</v>
      </c>
      <c r="BC110" s="61" t="s">
        <v>453</v>
      </c>
      <c r="BD110" s="61" t="s">
        <v>461</v>
      </c>
      <c r="BE110" s="61" t="s">
        <v>455</v>
      </c>
      <c r="BF110" s="61" t="s">
        <v>456</v>
      </c>
      <c r="BG110" s="61" t="s">
        <v>456</v>
      </c>
      <c r="BH110" s="61" t="s">
        <v>456</v>
      </c>
      <c r="BI110" s="61" t="s">
        <v>456</v>
      </c>
      <c r="BJ110" s="61" t="s">
        <v>456</v>
      </c>
      <c r="BK110" s="61" t="s">
        <v>456</v>
      </c>
      <c r="BL110" s="61" t="s">
        <v>456</v>
      </c>
      <c r="BM110" s="61">
        <v>4521</v>
      </c>
      <c r="BN110" s="61">
        <v>877</v>
      </c>
      <c r="BO110" s="61">
        <v>1707</v>
      </c>
      <c r="BP110" s="61">
        <v>4399</v>
      </c>
      <c r="BQ110" s="61">
        <v>3910</v>
      </c>
      <c r="BR110" s="61">
        <v>0</v>
      </c>
      <c r="BS110" s="61">
        <v>0</v>
      </c>
      <c r="BT110" s="61">
        <v>0</v>
      </c>
      <c r="BU110" s="61">
        <v>0</v>
      </c>
      <c r="BV110" s="61">
        <v>0</v>
      </c>
      <c r="BW110" s="61">
        <v>0</v>
      </c>
      <c r="BX110" s="61">
        <v>0</v>
      </c>
      <c r="BY110" s="61" t="s">
        <v>453</v>
      </c>
      <c r="BZ110" s="61" t="s">
        <v>454</v>
      </c>
      <c r="CA110" s="61" t="s">
        <v>456</v>
      </c>
      <c r="CB110" s="66"/>
      <c r="CC110" s="61">
        <v>2</v>
      </c>
      <c r="CD110" s="61">
        <v>2</v>
      </c>
      <c r="CE110" s="61">
        <v>0</v>
      </c>
      <c r="CF110" s="61"/>
      <c r="CG110" s="61" t="s">
        <v>500</v>
      </c>
    </row>
    <row r="111" s="52" customFormat="1" ht="13.5" spans="1:85">
      <c r="A111" s="61" t="s">
        <v>33</v>
      </c>
      <c r="B111" s="61" t="s">
        <v>648</v>
      </c>
      <c r="C111" s="61">
        <v>12450</v>
      </c>
      <c r="D111" s="61"/>
      <c r="E111" s="61" t="s">
        <v>649</v>
      </c>
      <c r="F111" s="61" t="b">
        <f>IF(COUNTIF(按提示输入属性!D12,E111)&gt;0,TRUE,FALSE)</f>
        <v>0</v>
      </c>
      <c r="G111" s="61"/>
      <c r="H111" s="61"/>
      <c r="I111" s="61"/>
      <c r="J111" s="61"/>
      <c r="K111" s="61">
        <v>869</v>
      </c>
      <c r="L111" s="61">
        <f>INT(K111*F342)</f>
        <v>934</v>
      </c>
      <c r="M111" s="61">
        <v>1692</v>
      </c>
      <c r="N111" s="61">
        <f>INT(M111*F342)</f>
        <v>1819</v>
      </c>
      <c r="O111" s="61">
        <v>4362</v>
      </c>
      <c r="P111" s="61">
        <f>INT(O111*F342)</f>
        <v>4690</v>
      </c>
      <c r="Q111" s="61">
        <v>0</v>
      </c>
      <c r="R111" s="61">
        <f>INT(Q111*F342)</f>
        <v>0</v>
      </c>
      <c r="S111" s="61">
        <v>0</v>
      </c>
      <c r="T111" s="61">
        <f>INT(S111*F342)</f>
        <v>0</v>
      </c>
      <c r="U111" s="61">
        <v>3877</v>
      </c>
      <c r="V111" s="61">
        <f>INT(U111*F342)</f>
        <v>4168</v>
      </c>
      <c r="W111" s="61">
        <v>0</v>
      </c>
      <c r="X111" s="61">
        <f>INT(W111*F342)</f>
        <v>0</v>
      </c>
      <c r="Y111" s="61">
        <v>0</v>
      </c>
      <c r="Z111" s="61">
        <v>0</v>
      </c>
      <c r="AA111" s="61">
        <v>0</v>
      </c>
      <c r="AB111" s="61">
        <v>0</v>
      </c>
      <c r="AC111" s="61">
        <v>0</v>
      </c>
      <c r="AD111" s="61">
        <v>0</v>
      </c>
      <c r="AE111" s="61">
        <v>0</v>
      </c>
      <c r="AF111" s="61">
        <v>1</v>
      </c>
      <c r="AG111" s="61">
        <v>1</v>
      </c>
      <c r="AH111" s="61">
        <v>0</v>
      </c>
      <c r="AI111" s="61">
        <v>0</v>
      </c>
      <c r="AJ111" s="61"/>
      <c r="AK111" s="61"/>
      <c r="AL111" s="61"/>
      <c r="AM111" s="61"/>
      <c r="AN111" s="61"/>
      <c r="AO111" s="61"/>
      <c r="AP111" s="61" t="s">
        <v>468</v>
      </c>
      <c r="AQ111" s="61">
        <v>6</v>
      </c>
      <c r="AR111" s="61" t="s">
        <v>469</v>
      </c>
      <c r="AS111" s="61">
        <v>1</v>
      </c>
      <c r="AT111" s="61" t="s">
        <v>450</v>
      </c>
      <c r="AU111" s="61" t="s">
        <v>450</v>
      </c>
      <c r="AV111" s="61" t="s">
        <v>450</v>
      </c>
      <c r="AW111" s="61">
        <v>4483</v>
      </c>
      <c r="AX111" s="61">
        <v>0</v>
      </c>
      <c r="AY111" s="61">
        <v>0</v>
      </c>
      <c r="AZ111" s="61">
        <v>0</v>
      </c>
      <c r="BA111" s="61" t="s">
        <v>451</v>
      </c>
      <c r="BB111" s="61" t="s">
        <v>452</v>
      </c>
      <c r="BC111" s="61" t="s">
        <v>453</v>
      </c>
      <c r="BD111" s="61" t="s">
        <v>461</v>
      </c>
      <c r="BE111" s="61" t="s">
        <v>455</v>
      </c>
      <c r="BF111" s="61" t="s">
        <v>456</v>
      </c>
      <c r="BG111" s="61" t="s">
        <v>456</v>
      </c>
      <c r="BH111" s="61" t="s">
        <v>456</v>
      </c>
      <c r="BI111" s="61" t="s">
        <v>456</v>
      </c>
      <c r="BJ111" s="61" t="s">
        <v>456</v>
      </c>
      <c r="BK111" s="61" t="s">
        <v>456</v>
      </c>
      <c r="BL111" s="61" t="s">
        <v>456</v>
      </c>
      <c r="BM111" s="61">
        <v>3516</v>
      </c>
      <c r="BN111" s="61">
        <v>682</v>
      </c>
      <c r="BO111" s="61">
        <v>1327</v>
      </c>
      <c r="BP111" s="61">
        <v>3421</v>
      </c>
      <c r="BQ111" s="61">
        <v>3041</v>
      </c>
      <c r="BR111" s="61">
        <v>0</v>
      </c>
      <c r="BS111" s="61">
        <v>0</v>
      </c>
      <c r="BT111" s="61">
        <v>0</v>
      </c>
      <c r="BU111" s="61">
        <v>0</v>
      </c>
      <c r="BV111" s="61">
        <v>0</v>
      </c>
      <c r="BW111" s="61">
        <v>0</v>
      </c>
      <c r="BX111" s="61">
        <v>0</v>
      </c>
      <c r="BY111" s="61" t="s">
        <v>452</v>
      </c>
      <c r="BZ111" s="61" t="s">
        <v>453</v>
      </c>
      <c r="CA111" s="61" t="s">
        <v>456</v>
      </c>
      <c r="CB111" s="66"/>
      <c r="CC111" s="61">
        <v>2</v>
      </c>
      <c r="CD111" s="61">
        <v>2</v>
      </c>
      <c r="CE111" s="61">
        <v>0</v>
      </c>
      <c r="CF111" s="61"/>
      <c r="CG111" s="61" t="s">
        <v>557</v>
      </c>
    </row>
    <row r="112" s="52" customFormat="1" ht="13.5" spans="1:85">
      <c r="A112" s="61" t="s">
        <v>33</v>
      </c>
      <c r="B112" s="61" t="s">
        <v>650</v>
      </c>
      <c r="C112" s="61">
        <v>12450</v>
      </c>
      <c r="D112" s="61"/>
      <c r="E112" s="61" t="s">
        <v>651</v>
      </c>
      <c r="F112" s="61" t="b">
        <f>IF(COUNTIF(按提示输入属性!D12,E112)&gt;0,TRUE,FALSE)</f>
        <v>0</v>
      </c>
      <c r="G112" s="61"/>
      <c r="H112" s="61"/>
      <c r="I112" s="61"/>
      <c r="J112" s="61"/>
      <c r="K112" s="61">
        <v>869</v>
      </c>
      <c r="L112" s="61">
        <f>INT(K112*F342)</f>
        <v>934</v>
      </c>
      <c r="M112" s="61">
        <v>1692</v>
      </c>
      <c r="N112" s="61">
        <f>INT(M112*F342)</f>
        <v>1819</v>
      </c>
      <c r="O112" s="61">
        <v>0</v>
      </c>
      <c r="P112" s="61">
        <f>INT(O112*F342)</f>
        <v>0</v>
      </c>
      <c r="Q112" s="61">
        <v>0</v>
      </c>
      <c r="R112" s="61">
        <f>INT(Q112*F342)</f>
        <v>0</v>
      </c>
      <c r="S112" s="61">
        <v>4362</v>
      </c>
      <c r="T112" s="61">
        <f>INT(S112*F342)</f>
        <v>4690</v>
      </c>
      <c r="U112" s="61">
        <v>3877</v>
      </c>
      <c r="V112" s="61">
        <f>INT(U112*F342)</f>
        <v>4168</v>
      </c>
      <c r="W112" s="61">
        <v>0</v>
      </c>
      <c r="X112" s="61">
        <f>INT(W112*F342)</f>
        <v>0</v>
      </c>
      <c r="Y112" s="61">
        <v>0</v>
      </c>
      <c r="Z112" s="61">
        <v>0</v>
      </c>
      <c r="AA112" s="61">
        <v>0</v>
      </c>
      <c r="AB112" s="61">
        <v>0</v>
      </c>
      <c r="AC112" s="61">
        <v>0</v>
      </c>
      <c r="AD112" s="61">
        <v>0</v>
      </c>
      <c r="AE112" s="61">
        <v>0</v>
      </c>
      <c r="AF112" s="61">
        <v>1</v>
      </c>
      <c r="AG112" s="61">
        <v>1</v>
      </c>
      <c r="AH112" s="61">
        <v>0</v>
      </c>
      <c r="AI112" s="61">
        <v>0</v>
      </c>
      <c r="AJ112" s="61"/>
      <c r="AK112" s="61"/>
      <c r="AL112" s="61"/>
      <c r="AM112" s="61"/>
      <c r="AN112" s="61"/>
      <c r="AO112" s="61"/>
      <c r="AP112" s="61" t="s">
        <v>465</v>
      </c>
      <c r="AQ112" s="61">
        <v>6</v>
      </c>
      <c r="AR112" s="61" t="s">
        <v>499</v>
      </c>
      <c r="AS112" s="61">
        <v>1</v>
      </c>
      <c r="AT112" s="61" t="s">
        <v>450</v>
      </c>
      <c r="AU112" s="61" t="s">
        <v>450</v>
      </c>
      <c r="AV112" s="61" t="s">
        <v>450</v>
      </c>
      <c r="AW112" s="61">
        <v>4483</v>
      </c>
      <c r="AX112" s="61">
        <v>0</v>
      </c>
      <c r="AY112" s="61">
        <v>0</v>
      </c>
      <c r="AZ112" s="61">
        <v>0</v>
      </c>
      <c r="BA112" s="61" t="s">
        <v>451</v>
      </c>
      <c r="BB112" s="61" t="s">
        <v>452</v>
      </c>
      <c r="BC112" s="61" t="s">
        <v>453</v>
      </c>
      <c r="BD112" s="61" t="s">
        <v>461</v>
      </c>
      <c r="BE112" s="61" t="s">
        <v>455</v>
      </c>
      <c r="BF112" s="61" t="s">
        <v>456</v>
      </c>
      <c r="BG112" s="61" t="s">
        <v>456</v>
      </c>
      <c r="BH112" s="61" t="s">
        <v>456</v>
      </c>
      <c r="BI112" s="61" t="s">
        <v>456</v>
      </c>
      <c r="BJ112" s="61" t="s">
        <v>456</v>
      </c>
      <c r="BK112" s="61" t="s">
        <v>456</v>
      </c>
      <c r="BL112" s="61" t="s">
        <v>456</v>
      </c>
      <c r="BM112" s="61">
        <v>3516</v>
      </c>
      <c r="BN112" s="61">
        <v>682</v>
      </c>
      <c r="BO112" s="61">
        <v>1327</v>
      </c>
      <c r="BP112" s="61">
        <v>3421</v>
      </c>
      <c r="BQ112" s="61">
        <v>3041</v>
      </c>
      <c r="BR112" s="61">
        <v>0</v>
      </c>
      <c r="BS112" s="61">
        <v>0</v>
      </c>
      <c r="BT112" s="61">
        <v>0</v>
      </c>
      <c r="BU112" s="61">
        <v>0</v>
      </c>
      <c r="BV112" s="61">
        <v>0</v>
      </c>
      <c r="BW112" s="61">
        <v>0</v>
      </c>
      <c r="BX112" s="61">
        <v>0</v>
      </c>
      <c r="BY112" s="61" t="s">
        <v>572</v>
      </c>
      <c r="BZ112" s="61" t="s">
        <v>461</v>
      </c>
      <c r="CA112" s="61" t="s">
        <v>456</v>
      </c>
      <c r="CB112" s="66"/>
      <c r="CC112" s="61">
        <v>2</v>
      </c>
      <c r="CD112" s="61">
        <v>2</v>
      </c>
      <c r="CE112" s="61">
        <v>0</v>
      </c>
      <c r="CF112" s="61"/>
      <c r="CG112" s="61" t="s">
        <v>557</v>
      </c>
    </row>
    <row r="113" s="52" customFormat="1" ht="13.5" spans="1:85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>
        <f>INT(K113*F342)</f>
        <v>0</v>
      </c>
      <c r="M113" s="61"/>
      <c r="N113" s="61">
        <f>INT(M113*F342)</f>
        <v>0</v>
      </c>
      <c r="O113" s="61"/>
      <c r="P113" s="61">
        <f>INT(O113*F342)</f>
        <v>0</v>
      </c>
      <c r="Q113" s="61"/>
      <c r="R113" s="61">
        <f>INT(Q113*F342)</f>
        <v>0</v>
      </c>
      <c r="S113" s="61"/>
      <c r="T113" s="61">
        <f>INT(S113*F342)</f>
        <v>0</v>
      </c>
      <c r="U113" s="61"/>
      <c r="V113" s="61">
        <f>INT(U113*F342)</f>
        <v>0</v>
      </c>
      <c r="W113" s="61"/>
      <c r="X113" s="61">
        <f>INT(W113*F342)</f>
        <v>0</v>
      </c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6"/>
      <c r="CC113" s="61"/>
      <c r="CD113" s="61"/>
      <c r="CE113" s="61"/>
      <c r="CF113" s="61"/>
      <c r="CG113" s="61"/>
    </row>
    <row r="114" s="52" customFormat="1" ht="13.5" spans="1:85">
      <c r="A114" s="61" t="s">
        <v>17</v>
      </c>
      <c r="B114" s="61" t="s">
        <v>652</v>
      </c>
      <c r="C114" s="61">
        <v>14150</v>
      </c>
      <c r="D114" s="61"/>
      <c r="E114" s="61" t="s">
        <v>653</v>
      </c>
      <c r="F114" s="61" t="b">
        <f>IF(COUNTIF(按提示输入属性!D8,E114)&gt;0,TRUE,FALSE)</f>
        <v>0</v>
      </c>
      <c r="G114" s="61"/>
      <c r="H114" s="61"/>
      <c r="I114" s="61"/>
      <c r="J114" s="61"/>
      <c r="K114" s="61">
        <v>889</v>
      </c>
      <c r="L114" s="61">
        <f>INT(K114*F342)</f>
        <v>955</v>
      </c>
      <c r="M114" s="61">
        <v>1731</v>
      </c>
      <c r="N114" s="61">
        <f>INT(M114*F342)</f>
        <v>1861</v>
      </c>
      <c r="O114" s="61">
        <v>4462</v>
      </c>
      <c r="P114" s="61">
        <f>INT(O114*F342)</f>
        <v>4797</v>
      </c>
      <c r="Q114" s="61">
        <v>0</v>
      </c>
      <c r="R114" s="61">
        <f>INT(Q114*F342)</f>
        <v>0</v>
      </c>
      <c r="S114" s="61">
        <v>0</v>
      </c>
      <c r="T114" s="61">
        <f>INT(S114*F342)</f>
        <v>0</v>
      </c>
      <c r="U114" s="61">
        <v>3966</v>
      </c>
      <c r="V114" s="61">
        <f>INT(U114*F342)</f>
        <v>4264</v>
      </c>
      <c r="W114" s="61">
        <v>0</v>
      </c>
      <c r="X114" s="61">
        <f>INT(W114*F342)</f>
        <v>0</v>
      </c>
      <c r="Y114" s="61">
        <v>0</v>
      </c>
      <c r="Z114" s="61">
        <v>0</v>
      </c>
      <c r="AA114" s="61">
        <v>0</v>
      </c>
      <c r="AB114" s="61">
        <v>0</v>
      </c>
      <c r="AC114" s="61">
        <v>1</v>
      </c>
      <c r="AD114" s="61">
        <v>0</v>
      </c>
      <c r="AE114" s="61">
        <v>0</v>
      </c>
      <c r="AF114" s="61">
        <v>1</v>
      </c>
      <c r="AG114" s="61">
        <v>0</v>
      </c>
      <c r="AH114" s="61">
        <v>0</v>
      </c>
      <c r="AI114" s="61">
        <v>0</v>
      </c>
      <c r="AJ114" s="61"/>
      <c r="AK114" s="61">
        <v>1</v>
      </c>
      <c r="AL114" s="61"/>
      <c r="AM114" s="61"/>
      <c r="AN114" s="61"/>
      <c r="AO114" s="61"/>
      <c r="AP114" s="61" t="s">
        <v>468</v>
      </c>
      <c r="AQ114" s="61">
        <v>6</v>
      </c>
      <c r="AR114" s="61" t="s">
        <v>503</v>
      </c>
      <c r="AS114" s="61">
        <v>1</v>
      </c>
      <c r="AT114" s="61" t="s">
        <v>450</v>
      </c>
      <c r="AU114" s="61" t="s">
        <v>450</v>
      </c>
      <c r="AV114" s="61" t="s">
        <v>450</v>
      </c>
      <c r="AW114" s="61">
        <v>4586</v>
      </c>
      <c r="AX114" s="61">
        <v>0</v>
      </c>
      <c r="AY114" s="61">
        <v>0</v>
      </c>
      <c r="AZ114" s="61">
        <v>0</v>
      </c>
      <c r="BA114" s="61" t="s">
        <v>451</v>
      </c>
      <c r="BB114" s="61" t="s">
        <v>452</v>
      </c>
      <c r="BC114" s="61" t="s">
        <v>453</v>
      </c>
      <c r="BD114" s="61" t="s">
        <v>461</v>
      </c>
      <c r="BE114" s="61" t="s">
        <v>462</v>
      </c>
      <c r="BF114" s="61" t="s">
        <v>456</v>
      </c>
      <c r="BG114" s="61" t="s">
        <v>456</v>
      </c>
      <c r="BH114" s="61" t="s">
        <v>456</v>
      </c>
      <c r="BI114" s="61" t="s">
        <v>456</v>
      </c>
      <c r="BJ114" s="61" t="s">
        <v>456</v>
      </c>
      <c r="BK114" s="61" t="s">
        <v>456</v>
      </c>
      <c r="BL114" s="61" t="s">
        <v>456</v>
      </c>
      <c r="BM114" s="61">
        <v>5023</v>
      </c>
      <c r="BN114" s="61">
        <v>974</v>
      </c>
      <c r="BO114" s="61">
        <v>1896</v>
      </c>
      <c r="BP114" s="61">
        <v>4888</v>
      </c>
      <c r="BQ114" s="61">
        <v>4344</v>
      </c>
      <c r="BR114" s="61">
        <v>0</v>
      </c>
      <c r="BS114" s="61">
        <v>0</v>
      </c>
      <c r="BT114" s="61">
        <v>0</v>
      </c>
      <c r="BU114" s="61">
        <v>0</v>
      </c>
      <c r="BV114" s="61">
        <v>0</v>
      </c>
      <c r="BW114" s="61">
        <v>0</v>
      </c>
      <c r="BX114" s="61">
        <v>0</v>
      </c>
      <c r="BY114" s="61" t="s">
        <v>461</v>
      </c>
      <c r="BZ114" s="61" t="s">
        <v>572</v>
      </c>
      <c r="CA114" s="61" t="s">
        <v>456</v>
      </c>
      <c r="CB114" s="66"/>
      <c r="CC114" s="61">
        <v>2</v>
      </c>
      <c r="CD114" s="61">
        <v>2</v>
      </c>
      <c r="CE114" s="61">
        <v>0</v>
      </c>
      <c r="CF114" s="61"/>
      <c r="CG114" s="61" t="s">
        <v>557</v>
      </c>
    </row>
    <row r="115" s="52" customFormat="1" ht="13.5" spans="1:85">
      <c r="A115" s="61" t="s">
        <v>17</v>
      </c>
      <c r="B115" s="61" t="s">
        <v>654</v>
      </c>
      <c r="C115" s="61">
        <v>13950</v>
      </c>
      <c r="D115" s="61"/>
      <c r="E115" s="61" t="s">
        <v>655</v>
      </c>
      <c r="F115" s="61" t="b">
        <f>IF(COUNTIF(按提示输入属性!D8,E115)&gt;0,TRUE,FALSE)</f>
        <v>0</v>
      </c>
      <c r="G115" s="61"/>
      <c r="H115" s="61"/>
      <c r="I115" s="61"/>
      <c r="J115" s="61"/>
      <c r="K115" s="61">
        <v>877</v>
      </c>
      <c r="L115" s="61">
        <f>INT(K115*F342)</f>
        <v>942</v>
      </c>
      <c r="M115" s="61">
        <v>1707</v>
      </c>
      <c r="N115" s="61">
        <f>INT(M115*F342)</f>
        <v>1835</v>
      </c>
      <c r="O115" s="61">
        <v>4399</v>
      </c>
      <c r="P115" s="61">
        <f>INT(O115*F342)</f>
        <v>4729</v>
      </c>
      <c r="Q115" s="61">
        <v>0</v>
      </c>
      <c r="R115" s="61">
        <f>INT(Q115*F342)</f>
        <v>0</v>
      </c>
      <c r="S115" s="61">
        <v>0</v>
      </c>
      <c r="T115" s="61">
        <f>INT(S115*F342)</f>
        <v>0</v>
      </c>
      <c r="U115" s="61">
        <v>0</v>
      </c>
      <c r="V115" s="61">
        <f>INT(U115*F342)</f>
        <v>0</v>
      </c>
      <c r="W115" s="61">
        <v>3910</v>
      </c>
      <c r="X115" s="61">
        <f>INT(W115*F342)</f>
        <v>4204</v>
      </c>
      <c r="Y115" s="61">
        <v>0</v>
      </c>
      <c r="Z115" s="61">
        <v>0</v>
      </c>
      <c r="AA115" s="61">
        <v>0</v>
      </c>
      <c r="AB115" s="61">
        <v>0</v>
      </c>
      <c r="AC115" s="61">
        <v>0</v>
      </c>
      <c r="AD115" s="61">
        <v>0</v>
      </c>
      <c r="AE115" s="61">
        <v>0</v>
      </c>
      <c r="AF115" s="61">
        <v>1</v>
      </c>
      <c r="AG115" s="61">
        <v>0</v>
      </c>
      <c r="AH115" s="61">
        <v>1</v>
      </c>
      <c r="AI115" s="61">
        <v>0</v>
      </c>
      <c r="AJ115" s="61"/>
      <c r="AK115" s="61"/>
      <c r="AL115" s="61"/>
      <c r="AM115" s="61"/>
      <c r="AN115" s="61"/>
      <c r="AO115" s="61"/>
      <c r="AP115" s="61" t="s">
        <v>460</v>
      </c>
      <c r="AQ115" s="61">
        <v>6</v>
      </c>
      <c r="AR115" s="61" t="s">
        <v>449</v>
      </c>
      <c r="AS115" s="61">
        <v>1</v>
      </c>
      <c r="AT115" s="61" t="s">
        <v>450</v>
      </c>
      <c r="AU115" s="61" t="s">
        <v>450</v>
      </c>
      <c r="AV115" s="61" t="s">
        <v>450</v>
      </c>
      <c r="AW115" s="61">
        <v>4521</v>
      </c>
      <c r="AX115" s="61">
        <v>0</v>
      </c>
      <c r="AY115" s="61">
        <v>0</v>
      </c>
      <c r="AZ115" s="61">
        <v>0</v>
      </c>
      <c r="BA115" s="61" t="s">
        <v>451</v>
      </c>
      <c r="BB115" s="61" t="s">
        <v>452</v>
      </c>
      <c r="BC115" s="61" t="s">
        <v>656</v>
      </c>
      <c r="BD115" s="61" t="s">
        <v>657</v>
      </c>
      <c r="BE115" s="61" t="s">
        <v>455</v>
      </c>
      <c r="BF115" s="61" t="s">
        <v>456</v>
      </c>
      <c r="BG115" s="61" t="s">
        <v>456</v>
      </c>
      <c r="BH115" s="61" t="s">
        <v>456</v>
      </c>
      <c r="BI115" s="61" t="s">
        <v>456</v>
      </c>
      <c r="BJ115" s="61" t="s">
        <v>456</v>
      </c>
      <c r="BK115" s="61" t="s">
        <v>456</v>
      </c>
      <c r="BL115" s="61" t="s">
        <v>456</v>
      </c>
      <c r="BM115" s="61">
        <v>3466</v>
      </c>
      <c r="BN115" s="61">
        <v>672</v>
      </c>
      <c r="BO115" s="61">
        <v>1308</v>
      </c>
      <c r="BP115" s="61">
        <v>3372</v>
      </c>
      <c r="BQ115" s="61">
        <v>2998</v>
      </c>
      <c r="BR115" s="61">
        <v>0</v>
      </c>
      <c r="BS115" s="61">
        <v>0</v>
      </c>
      <c r="BT115" s="61">
        <v>0</v>
      </c>
      <c r="BU115" s="61">
        <v>0</v>
      </c>
      <c r="BV115" s="61">
        <v>0</v>
      </c>
      <c r="BW115" s="61">
        <v>0</v>
      </c>
      <c r="BX115" s="61">
        <v>0</v>
      </c>
      <c r="BY115" s="61" t="s">
        <v>452</v>
      </c>
      <c r="BZ115" s="61" t="s">
        <v>656</v>
      </c>
      <c r="CA115" s="61" t="s">
        <v>456</v>
      </c>
      <c r="CB115" s="66"/>
      <c r="CC115" s="61">
        <v>2</v>
      </c>
      <c r="CD115" s="61">
        <v>2</v>
      </c>
      <c r="CE115" s="61">
        <v>0</v>
      </c>
      <c r="CF115" s="61"/>
      <c r="CG115" s="61" t="s">
        <v>658</v>
      </c>
    </row>
    <row r="116" s="52" customFormat="1" ht="13.5" spans="1:85">
      <c r="A116" s="61" t="s">
        <v>17</v>
      </c>
      <c r="B116" s="61" t="s">
        <v>659</v>
      </c>
      <c r="C116" s="61">
        <v>13950</v>
      </c>
      <c r="D116" s="61"/>
      <c r="E116" s="61" t="s">
        <v>660</v>
      </c>
      <c r="F116" s="61" t="b">
        <f>IF(COUNTIF(按提示输入属性!D8,E116)&gt;0,TRUE,FALSE)</f>
        <v>0</v>
      </c>
      <c r="G116" s="61"/>
      <c r="H116" s="61"/>
      <c r="I116" s="61"/>
      <c r="J116" s="61"/>
      <c r="K116" s="61">
        <v>877</v>
      </c>
      <c r="L116" s="61">
        <f>INT(K116*F342)</f>
        <v>942</v>
      </c>
      <c r="M116" s="61">
        <v>1707</v>
      </c>
      <c r="N116" s="61">
        <f>INT(M116*F342)</f>
        <v>1835</v>
      </c>
      <c r="O116" s="61">
        <v>0</v>
      </c>
      <c r="P116" s="61">
        <f>INT(O116*F342)</f>
        <v>0</v>
      </c>
      <c r="Q116" s="61">
        <v>0</v>
      </c>
      <c r="R116" s="61">
        <f>INT(Q116*F342)</f>
        <v>0</v>
      </c>
      <c r="S116" s="61">
        <v>0</v>
      </c>
      <c r="T116" s="61">
        <f>INT(S116*F342)</f>
        <v>0</v>
      </c>
      <c r="U116" s="61">
        <v>3910</v>
      </c>
      <c r="V116" s="61">
        <f>INT(U116*F342)</f>
        <v>4204</v>
      </c>
      <c r="W116" s="61">
        <v>0</v>
      </c>
      <c r="X116" s="61">
        <f>INT(W116*F342)</f>
        <v>0</v>
      </c>
      <c r="Y116" s="61">
        <v>4399</v>
      </c>
      <c r="Z116" s="61">
        <v>0</v>
      </c>
      <c r="AA116" s="61">
        <v>0</v>
      </c>
      <c r="AB116" s="61">
        <v>1</v>
      </c>
      <c r="AC116" s="61">
        <v>0</v>
      </c>
      <c r="AD116" s="61">
        <v>0</v>
      </c>
      <c r="AE116" s="61">
        <v>0</v>
      </c>
      <c r="AF116" s="61">
        <v>1</v>
      </c>
      <c r="AG116" s="61">
        <v>0</v>
      </c>
      <c r="AH116" s="61">
        <v>0</v>
      </c>
      <c r="AI116" s="61">
        <v>0</v>
      </c>
      <c r="AJ116" s="61"/>
      <c r="AK116" s="61"/>
      <c r="AL116" s="61"/>
      <c r="AM116" s="61"/>
      <c r="AN116" s="61"/>
      <c r="AO116" s="61"/>
      <c r="AP116" s="61" t="s">
        <v>448</v>
      </c>
      <c r="AQ116" s="61">
        <v>6</v>
      </c>
      <c r="AR116" s="61" t="s">
        <v>449</v>
      </c>
      <c r="AS116" s="61">
        <v>1</v>
      </c>
      <c r="AT116" s="61" t="s">
        <v>450</v>
      </c>
      <c r="AU116" s="61" t="s">
        <v>450</v>
      </c>
      <c r="AV116" s="61" t="s">
        <v>450</v>
      </c>
      <c r="AW116" s="61">
        <v>4521</v>
      </c>
      <c r="AX116" s="61">
        <v>0</v>
      </c>
      <c r="AY116" s="61">
        <v>0</v>
      </c>
      <c r="AZ116" s="61">
        <v>0</v>
      </c>
      <c r="BA116" s="61" t="s">
        <v>451</v>
      </c>
      <c r="BB116" s="61" t="s">
        <v>452</v>
      </c>
      <c r="BC116" s="61" t="s">
        <v>656</v>
      </c>
      <c r="BD116" s="61" t="s">
        <v>657</v>
      </c>
      <c r="BE116" s="61" t="s">
        <v>462</v>
      </c>
      <c r="BF116" s="61" t="s">
        <v>456</v>
      </c>
      <c r="BG116" s="61" t="s">
        <v>456</v>
      </c>
      <c r="BH116" s="61" t="s">
        <v>456</v>
      </c>
      <c r="BI116" s="61" t="s">
        <v>456</v>
      </c>
      <c r="BJ116" s="61" t="s">
        <v>456</v>
      </c>
      <c r="BK116" s="61" t="s">
        <v>456</v>
      </c>
      <c r="BL116" s="61" t="s">
        <v>456</v>
      </c>
      <c r="BM116" s="61">
        <v>3466</v>
      </c>
      <c r="BN116" s="61">
        <v>672</v>
      </c>
      <c r="BO116" s="61">
        <v>1308</v>
      </c>
      <c r="BP116" s="61">
        <v>3372</v>
      </c>
      <c r="BQ116" s="61">
        <v>2998</v>
      </c>
      <c r="BR116" s="61">
        <v>0</v>
      </c>
      <c r="BS116" s="61">
        <v>0</v>
      </c>
      <c r="BT116" s="61">
        <v>0</v>
      </c>
      <c r="BU116" s="61">
        <v>0</v>
      </c>
      <c r="BV116" s="61">
        <v>0</v>
      </c>
      <c r="BW116" s="61">
        <v>0</v>
      </c>
      <c r="BX116" s="61">
        <v>0</v>
      </c>
      <c r="BY116" s="61" t="s">
        <v>657</v>
      </c>
      <c r="BZ116" s="61" t="s">
        <v>656</v>
      </c>
      <c r="CA116" s="61" t="s">
        <v>456</v>
      </c>
      <c r="CB116" s="66"/>
      <c r="CC116" s="61">
        <v>2</v>
      </c>
      <c r="CD116" s="61">
        <v>2</v>
      </c>
      <c r="CE116" s="61">
        <v>0</v>
      </c>
      <c r="CF116" s="61"/>
      <c r="CG116" s="61" t="s">
        <v>658</v>
      </c>
    </row>
    <row r="117" s="52" customFormat="1" ht="13.5" spans="1:85">
      <c r="A117" s="61" t="s">
        <v>17</v>
      </c>
      <c r="B117" s="61" t="s">
        <v>661</v>
      </c>
      <c r="C117" s="61">
        <v>13950</v>
      </c>
      <c r="D117" s="61"/>
      <c r="E117" s="61" t="s">
        <v>662</v>
      </c>
      <c r="F117" s="61" t="b">
        <f>IF(COUNTIF(按提示输入属性!D8,E117)&gt;0,TRUE,FALSE)</f>
        <v>0</v>
      </c>
      <c r="G117" s="61"/>
      <c r="H117" s="61"/>
      <c r="I117" s="61"/>
      <c r="J117" s="61"/>
      <c r="K117" s="61">
        <v>877</v>
      </c>
      <c r="L117" s="61">
        <f>INT(K117*F342)</f>
        <v>942</v>
      </c>
      <c r="M117" s="61">
        <v>1707</v>
      </c>
      <c r="N117" s="61">
        <f>INT(M117*F342)</f>
        <v>1835</v>
      </c>
      <c r="O117" s="61">
        <v>4399</v>
      </c>
      <c r="P117" s="61">
        <f>INT(O117*F342)</f>
        <v>4729</v>
      </c>
      <c r="Q117" s="61">
        <v>0</v>
      </c>
      <c r="R117" s="61">
        <f>INT(Q117*F342)</f>
        <v>0</v>
      </c>
      <c r="S117" s="61">
        <v>0</v>
      </c>
      <c r="T117" s="61">
        <f>INT(S117*F342)</f>
        <v>0</v>
      </c>
      <c r="U117" s="61">
        <v>3910</v>
      </c>
      <c r="V117" s="61">
        <f>INT(U117*F342)</f>
        <v>4204</v>
      </c>
      <c r="W117" s="61">
        <v>0</v>
      </c>
      <c r="X117" s="61">
        <f>INT(W117*F342)</f>
        <v>0</v>
      </c>
      <c r="Y117" s="61">
        <v>0</v>
      </c>
      <c r="Z117" s="61">
        <v>0</v>
      </c>
      <c r="AA117" s="61">
        <v>0</v>
      </c>
      <c r="AB117" s="61">
        <v>0</v>
      </c>
      <c r="AC117" s="61">
        <v>1</v>
      </c>
      <c r="AD117" s="61">
        <v>0</v>
      </c>
      <c r="AE117" s="61">
        <v>0</v>
      </c>
      <c r="AF117" s="61">
        <v>1</v>
      </c>
      <c r="AG117" s="61">
        <v>0</v>
      </c>
      <c r="AH117" s="61">
        <v>0</v>
      </c>
      <c r="AI117" s="61">
        <v>0</v>
      </c>
      <c r="AJ117" s="61"/>
      <c r="AK117" s="61"/>
      <c r="AL117" s="61"/>
      <c r="AM117" s="61"/>
      <c r="AN117" s="61"/>
      <c r="AO117" s="61"/>
      <c r="AP117" s="61" t="s">
        <v>468</v>
      </c>
      <c r="AQ117" s="61">
        <v>6</v>
      </c>
      <c r="AR117" s="61" t="s">
        <v>524</v>
      </c>
      <c r="AS117" s="61">
        <v>1</v>
      </c>
      <c r="AT117" s="61" t="s">
        <v>450</v>
      </c>
      <c r="AU117" s="61" t="s">
        <v>450</v>
      </c>
      <c r="AV117" s="61" t="s">
        <v>450</v>
      </c>
      <c r="AW117" s="61">
        <v>4521</v>
      </c>
      <c r="AX117" s="61">
        <v>0</v>
      </c>
      <c r="AY117" s="61">
        <v>0</v>
      </c>
      <c r="AZ117" s="61">
        <v>0</v>
      </c>
      <c r="BA117" s="61" t="s">
        <v>451</v>
      </c>
      <c r="BB117" s="61" t="s">
        <v>452</v>
      </c>
      <c r="BC117" s="61" t="s">
        <v>656</v>
      </c>
      <c r="BD117" s="61" t="s">
        <v>663</v>
      </c>
      <c r="BE117" s="61" t="s">
        <v>462</v>
      </c>
      <c r="BF117" s="61" t="s">
        <v>456</v>
      </c>
      <c r="BG117" s="61" t="s">
        <v>456</v>
      </c>
      <c r="BH117" s="61" t="s">
        <v>456</v>
      </c>
      <c r="BI117" s="61" t="s">
        <v>456</v>
      </c>
      <c r="BJ117" s="61" t="s">
        <v>456</v>
      </c>
      <c r="BK117" s="61" t="s">
        <v>456</v>
      </c>
      <c r="BL117" s="61" t="s">
        <v>456</v>
      </c>
      <c r="BM117" s="61">
        <v>3466</v>
      </c>
      <c r="BN117" s="61">
        <v>672</v>
      </c>
      <c r="BO117" s="61">
        <v>1308</v>
      </c>
      <c r="BP117" s="61">
        <v>3372</v>
      </c>
      <c r="BQ117" s="61">
        <v>2998</v>
      </c>
      <c r="BR117" s="61">
        <v>0</v>
      </c>
      <c r="BS117" s="61">
        <v>0</v>
      </c>
      <c r="BT117" s="61">
        <v>0</v>
      </c>
      <c r="BU117" s="61">
        <v>0</v>
      </c>
      <c r="BV117" s="61">
        <v>0</v>
      </c>
      <c r="BW117" s="61">
        <v>0</v>
      </c>
      <c r="BX117" s="61">
        <v>0</v>
      </c>
      <c r="BY117" s="61" t="s">
        <v>656</v>
      </c>
      <c r="BZ117" s="61" t="s">
        <v>663</v>
      </c>
      <c r="CA117" s="61" t="s">
        <v>456</v>
      </c>
      <c r="CB117" s="66"/>
      <c r="CC117" s="61">
        <v>2</v>
      </c>
      <c r="CD117" s="61">
        <v>2</v>
      </c>
      <c r="CE117" s="61">
        <v>0</v>
      </c>
      <c r="CF117" s="61"/>
      <c r="CG117" s="61" t="s">
        <v>658</v>
      </c>
    </row>
    <row r="118" s="52" customFormat="1" ht="13.5" spans="1:85">
      <c r="A118" s="61" t="s">
        <v>17</v>
      </c>
      <c r="B118" s="61" t="s">
        <v>664</v>
      </c>
      <c r="C118" s="61">
        <v>13950</v>
      </c>
      <c r="D118" s="61"/>
      <c r="E118" s="61" t="s">
        <v>665</v>
      </c>
      <c r="F118" s="61" t="b">
        <f>IF(COUNTIF(按提示输入属性!D8,E118)&gt;0,TRUE,FALSE)</f>
        <v>0</v>
      </c>
      <c r="G118" s="61"/>
      <c r="H118" s="61"/>
      <c r="I118" s="61"/>
      <c r="J118" s="61"/>
      <c r="K118" s="61">
        <v>877</v>
      </c>
      <c r="L118" s="61">
        <f>INT(K118*F342)</f>
        <v>942</v>
      </c>
      <c r="M118" s="61">
        <v>1707</v>
      </c>
      <c r="N118" s="61">
        <f>INT(M118*F342)</f>
        <v>1835</v>
      </c>
      <c r="O118" s="61">
        <v>4399</v>
      </c>
      <c r="P118" s="61">
        <f>INT(O118*F342)</f>
        <v>4729</v>
      </c>
      <c r="Q118" s="61">
        <v>0</v>
      </c>
      <c r="R118" s="61">
        <f>INT(Q118*F342)</f>
        <v>0</v>
      </c>
      <c r="S118" s="61">
        <v>0</v>
      </c>
      <c r="T118" s="61">
        <f>INT(S118*F342)</f>
        <v>0</v>
      </c>
      <c r="U118" s="61">
        <v>3910</v>
      </c>
      <c r="V118" s="61">
        <f>INT(U118*F342)</f>
        <v>4204</v>
      </c>
      <c r="W118" s="61">
        <v>0</v>
      </c>
      <c r="X118" s="61">
        <f>INT(W118*F342)</f>
        <v>0</v>
      </c>
      <c r="Y118" s="61">
        <v>0</v>
      </c>
      <c r="Z118" s="61">
        <v>0</v>
      </c>
      <c r="AA118" s="61">
        <v>0</v>
      </c>
      <c r="AB118" s="61">
        <v>0</v>
      </c>
      <c r="AC118" s="61">
        <v>1</v>
      </c>
      <c r="AD118" s="61">
        <v>0</v>
      </c>
      <c r="AE118" s="61">
        <v>0</v>
      </c>
      <c r="AF118" s="61">
        <v>1</v>
      </c>
      <c r="AG118" s="61">
        <v>0</v>
      </c>
      <c r="AH118" s="61">
        <v>0</v>
      </c>
      <c r="AI118" s="61">
        <v>0</v>
      </c>
      <c r="AJ118" s="61"/>
      <c r="AK118" s="61"/>
      <c r="AL118" s="61"/>
      <c r="AM118" s="61"/>
      <c r="AN118" s="61"/>
      <c r="AO118" s="61"/>
      <c r="AP118" s="61" t="s">
        <v>468</v>
      </c>
      <c r="AQ118" s="61">
        <v>6</v>
      </c>
      <c r="AR118" s="61" t="s">
        <v>469</v>
      </c>
      <c r="AS118" s="61">
        <v>1</v>
      </c>
      <c r="AT118" s="61" t="s">
        <v>450</v>
      </c>
      <c r="AU118" s="61" t="s">
        <v>450</v>
      </c>
      <c r="AV118" s="61" t="s">
        <v>450</v>
      </c>
      <c r="AW118" s="61">
        <v>4521</v>
      </c>
      <c r="AX118" s="61">
        <v>0</v>
      </c>
      <c r="AY118" s="61">
        <v>0</v>
      </c>
      <c r="AZ118" s="61">
        <v>0</v>
      </c>
      <c r="BA118" s="61" t="s">
        <v>451</v>
      </c>
      <c r="BB118" s="61" t="s">
        <v>452</v>
      </c>
      <c r="BC118" s="61" t="s">
        <v>656</v>
      </c>
      <c r="BD118" s="61" t="s">
        <v>663</v>
      </c>
      <c r="BE118" s="61" t="s">
        <v>455</v>
      </c>
      <c r="BF118" s="61" t="s">
        <v>456</v>
      </c>
      <c r="BG118" s="61" t="s">
        <v>456</v>
      </c>
      <c r="BH118" s="61" t="s">
        <v>456</v>
      </c>
      <c r="BI118" s="61" t="s">
        <v>456</v>
      </c>
      <c r="BJ118" s="61" t="s">
        <v>456</v>
      </c>
      <c r="BK118" s="61" t="s">
        <v>456</v>
      </c>
      <c r="BL118" s="61" t="s">
        <v>456</v>
      </c>
      <c r="BM118" s="61">
        <v>4456</v>
      </c>
      <c r="BN118" s="61">
        <v>864</v>
      </c>
      <c r="BO118" s="61">
        <v>1682</v>
      </c>
      <c r="BP118" s="61">
        <v>4336</v>
      </c>
      <c r="BQ118" s="61">
        <v>3854</v>
      </c>
      <c r="BR118" s="61">
        <v>0</v>
      </c>
      <c r="BS118" s="61">
        <v>0</v>
      </c>
      <c r="BT118" s="61">
        <v>0</v>
      </c>
      <c r="BU118" s="61">
        <v>0</v>
      </c>
      <c r="BV118" s="61">
        <v>0</v>
      </c>
      <c r="BW118" s="61">
        <v>0</v>
      </c>
      <c r="BX118" s="61">
        <v>0</v>
      </c>
      <c r="BY118" s="61" t="s">
        <v>452</v>
      </c>
      <c r="BZ118" s="61" t="s">
        <v>656</v>
      </c>
      <c r="CA118" s="61" t="s">
        <v>456</v>
      </c>
      <c r="CB118" s="66"/>
      <c r="CC118" s="61">
        <v>2</v>
      </c>
      <c r="CD118" s="61">
        <v>2</v>
      </c>
      <c r="CE118" s="61">
        <v>0</v>
      </c>
      <c r="CF118" s="61"/>
      <c r="CG118" s="61" t="s">
        <v>658</v>
      </c>
    </row>
    <row r="119" s="52" customFormat="1" ht="13.5" spans="1:85">
      <c r="A119" s="61" t="s">
        <v>17</v>
      </c>
      <c r="B119" s="61" t="s">
        <v>666</v>
      </c>
      <c r="C119" s="61">
        <v>13750</v>
      </c>
      <c r="D119" s="61"/>
      <c r="E119" s="61" t="s">
        <v>18</v>
      </c>
      <c r="F119" s="61" t="b">
        <f>IF(COUNTIF(按提示输入属性!D8,E119)&gt;0,TRUE,FALSE)</f>
        <v>1</v>
      </c>
      <c r="G119" s="61"/>
      <c r="H119" s="61"/>
      <c r="I119" s="61"/>
      <c r="J119" s="61"/>
      <c r="K119" s="61">
        <v>864</v>
      </c>
      <c r="L119" s="61">
        <f>INT(K119*F342)</f>
        <v>929</v>
      </c>
      <c r="M119" s="61">
        <v>1682</v>
      </c>
      <c r="N119" s="61">
        <f>INT(M119*F342)</f>
        <v>1808</v>
      </c>
      <c r="O119" s="61">
        <v>0</v>
      </c>
      <c r="P119" s="61">
        <f>INT(O119*F342)</f>
        <v>0</v>
      </c>
      <c r="Q119" s="61">
        <v>0</v>
      </c>
      <c r="R119" s="61">
        <f>INT(Q119*F342)</f>
        <v>0</v>
      </c>
      <c r="S119" s="61">
        <v>4336</v>
      </c>
      <c r="T119" s="61">
        <f>INT(S119*F342)</f>
        <v>4662</v>
      </c>
      <c r="U119" s="61">
        <v>3854</v>
      </c>
      <c r="V119" s="61">
        <f>INT(U119*F342)</f>
        <v>4143</v>
      </c>
      <c r="W119" s="61">
        <v>0</v>
      </c>
      <c r="X119" s="61">
        <f>INT(W119*F342)</f>
        <v>0</v>
      </c>
      <c r="Y119" s="61">
        <v>0</v>
      </c>
      <c r="Z119" s="61">
        <v>0</v>
      </c>
      <c r="AA119" s="61">
        <v>0</v>
      </c>
      <c r="AB119" s="61">
        <v>1</v>
      </c>
      <c r="AC119" s="61">
        <v>1</v>
      </c>
      <c r="AD119" s="61">
        <v>0</v>
      </c>
      <c r="AE119" s="61">
        <v>0</v>
      </c>
      <c r="AF119" s="61">
        <v>0</v>
      </c>
      <c r="AG119" s="61">
        <v>0</v>
      </c>
      <c r="AH119" s="61">
        <v>0</v>
      </c>
      <c r="AI119" s="61">
        <v>0</v>
      </c>
      <c r="AJ119" s="61"/>
      <c r="AK119" s="61"/>
      <c r="AL119" s="61"/>
      <c r="AM119" s="61">
        <v>1</v>
      </c>
      <c r="AN119" s="61"/>
      <c r="AO119" s="61"/>
      <c r="AP119" s="61" t="s">
        <v>465</v>
      </c>
      <c r="AQ119" s="61">
        <v>6</v>
      </c>
      <c r="AR119" s="61" t="s">
        <v>529</v>
      </c>
      <c r="AS119" s="61">
        <v>1</v>
      </c>
      <c r="AT119" s="61" t="s">
        <v>450</v>
      </c>
      <c r="AU119" s="61" t="s">
        <v>450</v>
      </c>
      <c r="AV119" s="61" t="s">
        <v>450</v>
      </c>
      <c r="AW119" s="61">
        <v>4456</v>
      </c>
      <c r="AX119" s="61">
        <v>0</v>
      </c>
      <c r="AY119" s="61">
        <v>0</v>
      </c>
      <c r="AZ119" s="61">
        <v>0</v>
      </c>
      <c r="BA119" s="61" t="s">
        <v>451</v>
      </c>
      <c r="BB119" s="61" t="s">
        <v>452</v>
      </c>
      <c r="BC119" s="61" t="s">
        <v>656</v>
      </c>
      <c r="BD119" s="61" t="s">
        <v>657</v>
      </c>
      <c r="BE119" s="61" t="s">
        <v>462</v>
      </c>
      <c r="BF119" s="61" t="s">
        <v>456</v>
      </c>
      <c r="BG119" s="61" t="s">
        <v>456</v>
      </c>
      <c r="BH119" s="61" t="s">
        <v>456</v>
      </c>
      <c r="BI119" s="61" t="s">
        <v>456</v>
      </c>
      <c r="BJ119" s="61" t="s">
        <v>456</v>
      </c>
      <c r="BK119" s="61" t="s">
        <v>456</v>
      </c>
      <c r="BL119" s="61" t="s">
        <v>456</v>
      </c>
      <c r="BM119" s="61">
        <v>4951</v>
      </c>
      <c r="BN119" s="61">
        <v>960</v>
      </c>
      <c r="BO119" s="61">
        <v>1869</v>
      </c>
      <c r="BP119" s="61">
        <v>4817</v>
      </c>
      <c r="BQ119" s="61">
        <v>4282</v>
      </c>
      <c r="BR119" s="61">
        <v>0</v>
      </c>
      <c r="BS119" s="61">
        <v>0</v>
      </c>
      <c r="BT119" s="61">
        <v>0</v>
      </c>
      <c r="BU119" s="61">
        <v>0</v>
      </c>
      <c r="BV119" s="61">
        <v>0</v>
      </c>
      <c r="BW119" s="61">
        <v>0</v>
      </c>
      <c r="BX119" s="61">
        <v>0</v>
      </c>
      <c r="BY119" s="61" t="s">
        <v>657</v>
      </c>
      <c r="BZ119" s="61" t="s">
        <v>667</v>
      </c>
      <c r="CA119" s="61" t="s">
        <v>456</v>
      </c>
      <c r="CB119" s="66"/>
      <c r="CC119" s="61">
        <v>2</v>
      </c>
      <c r="CD119" s="61">
        <v>2</v>
      </c>
      <c r="CE119" s="61">
        <v>0</v>
      </c>
      <c r="CF119" s="61"/>
      <c r="CG119" s="61" t="s">
        <v>658</v>
      </c>
    </row>
    <row r="120" s="53" customFormat="1" ht="13.5" spans="1:85">
      <c r="A120" s="62" t="s">
        <v>17</v>
      </c>
      <c r="B120" s="62" t="s">
        <v>668</v>
      </c>
      <c r="C120" s="62">
        <v>13550</v>
      </c>
      <c r="D120" s="62"/>
      <c r="E120" s="62" t="s">
        <v>669</v>
      </c>
      <c r="F120" s="62" t="b">
        <f>IF(COUNTIF(按提示输入属性!D8,E120)&gt;0,TRUE,FALSE)</f>
        <v>0</v>
      </c>
      <c r="G120" s="62"/>
      <c r="H120" s="62"/>
      <c r="I120" s="62"/>
      <c r="J120" s="62"/>
      <c r="K120" s="62">
        <v>0</v>
      </c>
      <c r="L120" s="62">
        <f>INT(K120*F342)</f>
        <v>0</v>
      </c>
      <c r="M120" s="62">
        <v>4335</v>
      </c>
      <c r="N120" s="62">
        <f>INT(M120*F344)</f>
        <v>4439</v>
      </c>
      <c r="O120" s="62">
        <v>8427</v>
      </c>
      <c r="P120" s="62">
        <f>INT(O120*F344)</f>
        <v>8630</v>
      </c>
      <c r="Q120" s="62">
        <v>0</v>
      </c>
      <c r="R120" s="62">
        <f>INT(Q120*F344)</f>
        <v>0</v>
      </c>
      <c r="S120" s="62">
        <v>0</v>
      </c>
      <c r="T120" s="62">
        <f>INT(S120*F344)</f>
        <v>0</v>
      </c>
      <c r="U120" s="62">
        <v>0</v>
      </c>
      <c r="V120" s="62">
        <f>INT(U120*F344)</f>
        <v>0</v>
      </c>
      <c r="W120" s="62">
        <v>0</v>
      </c>
      <c r="X120" s="62">
        <f>INT(W120*F344)</f>
        <v>0</v>
      </c>
      <c r="Y120" s="62">
        <v>0</v>
      </c>
      <c r="Z120" s="62">
        <v>0</v>
      </c>
      <c r="AA120" s="62">
        <v>0</v>
      </c>
      <c r="AB120" s="62">
        <v>0</v>
      </c>
      <c r="AC120" s="62">
        <v>0</v>
      </c>
      <c r="AD120" s="62">
        <v>1</v>
      </c>
      <c r="AE120" s="62">
        <v>1</v>
      </c>
      <c r="AF120" s="62">
        <v>0</v>
      </c>
      <c r="AG120" s="62">
        <v>0</v>
      </c>
      <c r="AH120" s="62">
        <v>0</v>
      </c>
      <c r="AI120" s="62">
        <v>0</v>
      </c>
      <c r="AJ120" s="62"/>
      <c r="AK120" s="62"/>
      <c r="AL120" s="62"/>
      <c r="AM120" s="62"/>
      <c r="AN120" s="62"/>
      <c r="AO120" s="62"/>
      <c r="AP120" s="62" t="s">
        <v>472</v>
      </c>
      <c r="AQ120" s="62">
        <v>3</v>
      </c>
      <c r="AR120" s="62" t="s">
        <v>473</v>
      </c>
      <c r="AS120" s="62">
        <v>1</v>
      </c>
      <c r="AT120" s="62" t="s">
        <v>450</v>
      </c>
      <c r="AU120" s="62" t="s">
        <v>450</v>
      </c>
      <c r="AV120" s="62" t="s">
        <v>450</v>
      </c>
      <c r="AW120" s="62">
        <v>0</v>
      </c>
      <c r="AX120" s="62">
        <v>0</v>
      </c>
      <c r="AY120" s="62">
        <v>0</v>
      </c>
      <c r="AZ120" s="62">
        <v>0</v>
      </c>
      <c r="BA120" s="62" t="s">
        <v>453</v>
      </c>
      <c r="BB120" s="62" t="s">
        <v>487</v>
      </c>
      <c r="BC120" s="62" t="s">
        <v>456</v>
      </c>
      <c r="BD120" s="62" t="s">
        <v>456</v>
      </c>
      <c r="BE120" s="62" t="s">
        <v>456</v>
      </c>
      <c r="BF120" s="62" t="s">
        <v>456</v>
      </c>
      <c r="BG120" s="62" t="s">
        <v>456</v>
      </c>
      <c r="BH120" s="62" t="s">
        <v>456</v>
      </c>
      <c r="BI120" s="62" t="s">
        <v>456</v>
      </c>
      <c r="BJ120" s="62" t="s">
        <v>456</v>
      </c>
      <c r="BK120" s="62" t="s">
        <v>456</v>
      </c>
      <c r="BL120" s="62" t="s">
        <v>456</v>
      </c>
      <c r="BM120" s="62">
        <v>4335</v>
      </c>
      <c r="BN120" s="62">
        <v>8427</v>
      </c>
      <c r="BO120" s="62">
        <v>0</v>
      </c>
      <c r="BP120" s="62">
        <v>0</v>
      </c>
      <c r="BQ120" s="62">
        <v>0</v>
      </c>
      <c r="BR120" s="62">
        <v>0</v>
      </c>
      <c r="BS120" s="62">
        <v>0</v>
      </c>
      <c r="BT120" s="62">
        <v>0</v>
      </c>
      <c r="BU120" s="62">
        <v>0</v>
      </c>
      <c r="BV120" s="62">
        <v>0</v>
      </c>
      <c r="BW120" s="62">
        <v>0</v>
      </c>
      <c r="BX120" s="62">
        <v>0</v>
      </c>
      <c r="BY120" s="62" t="s">
        <v>490</v>
      </c>
      <c r="BZ120" s="62" t="s">
        <v>487</v>
      </c>
      <c r="CA120" s="62" t="s">
        <v>456</v>
      </c>
      <c r="CB120" s="64"/>
      <c r="CC120" s="62">
        <v>2</v>
      </c>
      <c r="CD120" s="62">
        <v>2</v>
      </c>
      <c r="CE120" s="62">
        <v>0</v>
      </c>
      <c r="CF120" s="62"/>
      <c r="CG120" s="62" t="s">
        <v>473</v>
      </c>
    </row>
    <row r="121" s="53" customFormat="1" ht="13.5" spans="1:85">
      <c r="A121" s="62" t="s">
        <v>17</v>
      </c>
      <c r="B121" s="62" t="s">
        <v>668</v>
      </c>
      <c r="C121" s="62">
        <v>13550</v>
      </c>
      <c r="D121" s="62"/>
      <c r="E121" s="62" t="s">
        <v>670</v>
      </c>
      <c r="F121" s="62" t="b">
        <f>IF(COUNTIF(按提示输入属性!D8,E121)&gt;0,TRUE,FALSE)</f>
        <v>0</v>
      </c>
      <c r="G121" s="62"/>
      <c r="H121" s="62"/>
      <c r="I121" s="62"/>
      <c r="J121" s="62"/>
      <c r="K121" s="62">
        <v>0</v>
      </c>
      <c r="L121" s="62">
        <f>INT(K121*F342)</f>
        <v>0</v>
      </c>
      <c r="M121" s="62">
        <v>3698</v>
      </c>
      <c r="N121" s="62">
        <f>INT(M121*F344)</f>
        <v>3787</v>
      </c>
      <c r="O121" s="62">
        <v>4747</v>
      </c>
      <c r="P121" s="62">
        <f>INT(O121*F344)</f>
        <v>4861</v>
      </c>
      <c r="Q121" s="62">
        <v>0</v>
      </c>
      <c r="R121" s="62">
        <f>INT(Q121*F344)</f>
        <v>0</v>
      </c>
      <c r="S121" s="62">
        <v>0</v>
      </c>
      <c r="T121" s="62">
        <f>INT(S121*F344)</f>
        <v>0</v>
      </c>
      <c r="U121" s="62">
        <v>4985</v>
      </c>
      <c r="V121" s="62">
        <f>INT(U121*F344)</f>
        <v>5105</v>
      </c>
      <c r="W121" s="62">
        <v>0</v>
      </c>
      <c r="X121" s="62">
        <f>INT(W121*F344)</f>
        <v>0</v>
      </c>
      <c r="Y121" s="62">
        <v>0</v>
      </c>
      <c r="Z121" s="62">
        <v>0</v>
      </c>
      <c r="AA121" s="62">
        <v>0</v>
      </c>
      <c r="AB121" s="62">
        <v>0</v>
      </c>
      <c r="AC121" s="62">
        <v>0</v>
      </c>
      <c r="AD121" s="62">
        <v>0</v>
      </c>
      <c r="AE121" s="62">
        <v>1</v>
      </c>
      <c r="AF121" s="62">
        <v>0</v>
      </c>
      <c r="AG121" s="62">
        <v>1</v>
      </c>
      <c r="AH121" s="62">
        <v>0</v>
      </c>
      <c r="AI121" s="62">
        <v>0</v>
      </c>
      <c r="AJ121" s="62"/>
      <c r="AK121" s="62"/>
      <c r="AL121" s="62"/>
      <c r="AM121" s="62"/>
      <c r="AN121" s="62"/>
      <c r="AO121" s="62"/>
      <c r="AP121" s="62" t="s">
        <v>609</v>
      </c>
      <c r="AQ121" s="62">
        <v>3</v>
      </c>
      <c r="AR121" s="62" t="s">
        <v>473</v>
      </c>
      <c r="AS121" s="62">
        <v>1</v>
      </c>
      <c r="AT121" s="62" t="s">
        <v>450</v>
      </c>
      <c r="AU121" s="62" t="s">
        <v>450</v>
      </c>
      <c r="AV121" s="62" t="s">
        <v>450</v>
      </c>
      <c r="AW121" s="62">
        <v>0</v>
      </c>
      <c r="AX121" s="62">
        <v>0</v>
      </c>
      <c r="AY121" s="62">
        <v>0</v>
      </c>
      <c r="AZ121" s="62">
        <v>0</v>
      </c>
      <c r="BA121" s="62" t="s">
        <v>453</v>
      </c>
      <c r="BB121" s="62" t="s">
        <v>455</v>
      </c>
      <c r="BC121" s="62" t="s">
        <v>487</v>
      </c>
      <c r="BD121" s="62" t="s">
        <v>456</v>
      </c>
      <c r="BE121" s="62" t="s">
        <v>456</v>
      </c>
      <c r="BF121" s="62" t="s">
        <v>456</v>
      </c>
      <c r="BG121" s="62" t="s">
        <v>456</v>
      </c>
      <c r="BH121" s="62" t="s">
        <v>456</v>
      </c>
      <c r="BI121" s="62" t="s">
        <v>456</v>
      </c>
      <c r="BJ121" s="62" t="s">
        <v>456</v>
      </c>
      <c r="BK121" s="62" t="s">
        <v>456</v>
      </c>
      <c r="BL121" s="62" t="s">
        <v>456</v>
      </c>
      <c r="BM121" s="62">
        <v>3698</v>
      </c>
      <c r="BN121" s="62">
        <v>4985</v>
      </c>
      <c r="BO121" s="62">
        <v>4747</v>
      </c>
      <c r="BP121" s="62">
        <v>0</v>
      </c>
      <c r="BQ121" s="62">
        <v>0</v>
      </c>
      <c r="BR121" s="62">
        <v>0</v>
      </c>
      <c r="BS121" s="62">
        <v>0</v>
      </c>
      <c r="BT121" s="62">
        <v>0</v>
      </c>
      <c r="BU121" s="62">
        <v>0</v>
      </c>
      <c r="BV121" s="62">
        <v>0</v>
      </c>
      <c r="BW121" s="62">
        <v>0</v>
      </c>
      <c r="BX121" s="62">
        <v>0</v>
      </c>
      <c r="BY121" s="62" t="s">
        <v>490</v>
      </c>
      <c r="BZ121" s="62" t="s">
        <v>455</v>
      </c>
      <c r="CA121" s="62" t="s">
        <v>456</v>
      </c>
      <c r="CB121" s="64"/>
      <c r="CC121" s="62">
        <v>2</v>
      </c>
      <c r="CD121" s="62">
        <v>2</v>
      </c>
      <c r="CE121" s="62">
        <v>0</v>
      </c>
      <c r="CF121" s="62"/>
      <c r="CG121" s="62" t="s">
        <v>473</v>
      </c>
    </row>
    <row r="122" s="53" customFormat="1" ht="13.5" spans="1:85">
      <c r="A122" s="62" t="s">
        <v>17</v>
      </c>
      <c r="B122" s="62" t="s">
        <v>668</v>
      </c>
      <c r="C122" s="62">
        <v>13550</v>
      </c>
      <c r="D122" s="62"/>
      <c r="E122" s="62" t="s">
        <v>671</v>
      </c>
      <c r="F122" s="62" t="b">
        <f>IF(COUNTIF(按提示输入属性!D8,E122)&gt;0,TRUE,FALSE)</f>
        <v>0</v>
      </c>
      <c r="G122" s="62"/>
      <c r="H122" s="62"/>
      <c r="I122" s="62"/>
      <c r="J122" s="62"/>
      <c r="K122" s="62">
        <v>0</v>
      </c>
      <c r="L122" s="62">
        <f>INT(K122*F342)</f>
        <v>0</v>
      </c>
      <c r="M122" s="62">
        <v>3698</v>
      </c>
      <c r="N122" s="62">
        <f>INT(M122*F344)</f>
        <v>3787</v>
      </c>
      <c r="O122" s="62">
        <v>3798</v>
      </c>
      <c r="P122" s="62">
        <f>INT(O122*F344)</f>
        <v>3889</v>
      </c>
      <c r="Q122" s="62">
        <v>0</v>
      </c>
      <c r="R122" s="62">
        <f>INT(Q122*F344)</f>
        <v>0</v>
      </c>
      <c r="S122" s="62">
        <v>3323</v>
      </c>
      <c r="T122" s="62">
        <f>INT(S122*F344)</f>
        <v>3403</v>
      </c>
      <c r="U122" s="62">
        <v>0</v>
      </c>
      <c r="V122" s="62">
        <f>INT(U122*F344)</f>
        <v>0</v>
      </c>
      <c r="W122" s="62">
        <v>2611</v>
      </c>
      <c r="X122" s="62">
        <f>INT(W122*F344)</f>
        <v>2673</v>
      </c>
      <c r="Y122" s="62">
        <v>0</v>
      </c>
      <c r="Z122" s="62">
        <v>0</v>
      </c>
      <c r="AA122" s="62">
        <v>0</v>
      </c>
      <c r="AB122" s="62">
        <v>0</v>
      </c>
      <c r="AC122" s="62">
        <v>1</v>
      </c>
      <c r="AD122" s="62">
        <v>0</v>
      </c>
      <c r="AE122" s="62">
        <v>1</v>
      </c>
      <c r="AF122" s="62">
        <v>0</v>
      </c>
      <c r="AG122" s="62">
        <v>0</v>
      </c>
      <c r="AH122" s="62">
        <v>0</v>
      </c>
      <c r="AI122" s="62">
        <v>0</v>
      </c>
      <c r="AJ122" s="62"/>
      <c r="AK122" s="62"/>
      <c r="AL122" s="62"/>
      <c r="AM122" s="62"/>
      <c r="AN122" s="62"/>
      <c r="AO122" s="62"/>
      <c r="AP122" s="62" t="s">
        <v>614</v>
      </c>
      <c r="AQ122" s="62">
        <v>3</v>
      </c>
      <c r="AR122" s="62" t="s">
        <v>473</v>
      </c>
      <c r="AS122" s="62">
        <v>1</v>
      </c>
      <c r="AT122" s="62" t="s">
        <v>450</v>
      </c>
      <c r="AU122" s="62" t="s">
        <v>450</v>
      </c>
      <c r="AV122" s="62" t="s">
        <v>450</v>
      </c>
      <c r="AW122" s="62">
        <v>0</v>
      </c>
      <c r="AX122" s="62">
        <v>0</v>
      </c>
      <c r="AY122" s="62">
        <v>0</v>
      </c>
      <c r="AZ122" s="62">
        <v>0</v>
      </c>
      <c r="BA122" s="62" t="s">
        <v>453</v>
      </c>
      <c r="BB122" s="62" t="s">
        <v>454</v>
      </c>
      <c r="BC122" s="62" t="s">
        <v>487</v>
      </c>
      <c r="BD122" s="62" t="s">
        <v>462</v>
      </c>
      <c r="BE122" s="62" t="s">
        <v>456</v>
      </c>
      <c r="BF122" s="62" t="s">
        <v>456</v>
      </c>
      <c r="BG122" s="62" t="s">
        <v>456</v>
      </c>
      <c r="BH122" s="62" t="s">
        <v>456</v>
      </c>
      <c r="BI122" s="62" t="s">
        <v>456</v>
      </c>
      <c r="BJ122" s="62" t="s">
        <v>456</v>
      </c>
      <c r="BK122" s="62" t="s">
        <v>456</v>
      </c>
      <c r="BL122" s="62" t="s">
        <v>456</v>
      </c>
      <c r="BM122" s="62">
        <v>3698</v>
      </c>
      <c r="BN122" s="62">
        <v>3323</v>
      </c>
      <c r="BO122" s="62">
        <v>3798</v>
      </c>
      <c r="BP122" s="62">
        <v>2611</v>
      </c>
      <c r="BQ122" s="62">
        <v>0</v>
      </c>
      <c r="BR122" s="62">
        <v>0</v>
      </c>
      <c r="BS122" s="62">
        <v>0</v>
      </c>
      <c r="BT122" s="62">
        <v>0</v>
      </c>
      <c r="BU122" s="62">
        <v>0</v>
      </c>
      <c r="BV122" s="62">
        <v>0</v>
      </c>
      <c r="BW122" s="62">
        <v>0</v>
      </c>
      <c r="BX122" s="62">
        <v>0</v>
      </c>
      <c r="BY122" s="62" t="s">
        <v>490</v>
      </c>
      <c r="BZ122" s="62" t="s">
        <v>453</v>
      </c>
      <c r="CA122" s="62" t="s">
        <v>456</v>
      </c>
      <c r="CB122" s="64"/>
      <c r="CC122" s="62">
        <v>2</v>
      </c>
      <c r="CD122" s="62">
        <v>2</v>
      </c>
      <c r="CE122" s="62">
        <v>0</v>
      </c>
      <c r="CF122" s="62"/>
      <c r="CG122" s="62" t="s">
        <v>473</v>
      </c>
    </row>
    <row r="123" s="53" customFormat="1" ht="13.5" spans="1:85">
      <c r="A123" s="62" t="s">
        <v>17</v>
      </c>
      <c r="B123" s="62" t="s">
        <v>668</v>
      </c>
      <c r="C123" s="62">
        <v>12800</v>
      </c>
      <c r="D123" s="62"/>
      <c r="E123" s="62" t="s">
        <v>672</v>
      </c>
      <c r="F123" s="62" t="b">
        <f>IF(COUNTIF(按提示输入属性!D8,E123)&gt;0,TRUE,FALSE)</f>
        <v>0</v>
      </c>
      <c r="G123" s="62"/>
      <c r="H123" s="62"/>
      <c r="I123" s="62"/>
      <c r="J123" s="62"/>
      <c r="K123" s="62">
        <v>0</v>
      </c>
      <c r="L123" s="62">
        <f>INT(K123*F342)</f>
        <v>0</v>
      </c>
      <c r="M123" s="62">
        <v>4096</v>
      </c>
      <c r="N123" s="62">
        <f>INT(M123*F344)</f>
        <v>4194</v>
      </c>
      <c r="O123" s="62">
        <v>0</v>
      </c>
      <c r="P123" s="61">
        <f>INT(O123*F344)</f>
        <v>0</v>
      </c>
      <c r="Q123" s="62">
        <v>0</v>
      </c>
      <c r="R123" s="61">
        <f>INT(Q123*F344)</f>
        <v>0</v>
      </c>
      <c r="S123" s="62">
        <v>0</v>
      </c>
      <c r="T123" s="61">
        <f>INT(S123*F344)</f>
        <v>0</v>
      </c>
      <c r="U123" s="62">
        <v>0</v>
      </c>
      <c r="V123" s="61">
        <f>INT(U123*F344)</f>
        <v>0</v>
      </c>
      <c r="W123" s="62">
        <v>7960</v>
      </c>
      <c r="X123" s="61">
        <f>INT(W123*F344)</f>
        <v>8151</v>
      </c>
      <c r="Y123" s="62">
        <v>0</v>
      </c>
      <c r="Z123" s="62">
        <v>0</v>
      </c>
      <c r="AA123" s="62">
        <v>0</v>
      </c>
      <c r="AB123" s="62">
        <v>0</v>
      </c>
      <c r="AC123" s="62">
        <v>0</v>
      </c>
      <c r="AD123" s="62">
        <v>1</v>
      </c>
      <c r="AE123" s="62">
        <v>0</v>
      </c>
      <c r="AF123" s="62">
        <v>0</v>
      </c>
      <c r="AG123" s="62">
        <v>0</v>
      </c>
      <c r="AH123" s="62">
        <v>1</v>
      </c>
      <c r="AI123" s="62">
        <v>0</v>
      </c>
      <c r="AJ123" s="62"/>
      <c r="AK123" s="62"/>
      <c r="AL123" s="62"/>
      <c r="AM123" s="62"/>
      <c r="AN123" s="62"/>
      <c r="AO123" s="62"/>
      <c r="AP123" s="62" t="s">
        <v>568</v>
      </c>
      <c r="AQ123" s="62">
        <v>3</v>
      </c>
      <c r="AR123" s="62" t="s">
        <v>473</v>
      </c>
      <c r="AS123" s="62">
        <v>1</v>
      </c>
      <c r="AT123" s="62" t="s">
        <v>450</v>
      </c>
      <c r="AU123" s="62" t="s">
        <v>450</v>
      </c>
      <c r="AV123" s="62" t="s">
        <v>450</v>
      </c>
      <c r="AW123" s="62">
        <v>0</v>
      </c>
      <c r="AX123" s="62">
        <v>0</v>
      </c>
      <c r="AY123" s="62">
        <v>0</v>
      </c>
      <c r="AZ123" s="62">
        <v>0</v>
      </c>
      <c r="BA123" s="62" t="s">
        <v>453</v>
      </c>
      <c r="BB123" s="62" t="s">
        <v>454</v>
      </c>
      <c r="BC123" s="62" t="s">
        <v>456</v>
      </c>
      <c r="BD123" s="62" t="s">
        <v>456</v>
      </c>
      <c r="BE123" s="62" t="s">
        <v>456</v>
      </c>
      <c r="BF123" s="62" t="s">
        <v>456</v>
      </c>
      <c r="BG123" s="62" t="s">
        <v>456</v>
      </c>
      <c r="BH123" s="62" t="s">
        <v>456</v>
      </c>
      <c r="BI123" s="62" t="s">
        <v>456</v>
      </c>
      <c r="BJ123" s="62" t="s">
        <v>456</v>
      </c>
      <c r="BK123" s="62" t="s">
        <v>456</v>
      </c>
      <c r="BL123" s="62" t="s">
        <v>456</v>
      </c>
      <c r="BM123" s="62">
        <v>3372</v>
      </c>
      <c r="BN123" s="62">
        <v>6554</v>
      </c>
      <c r="BO123" s="62">
        <v>0</v>
      </c>
      <c r="BP123" s="62">
        <v>0</v>
      </c>
      <c r="BQ123" s="62">
        <v>0</v>
      </c>
      <c r="BR123" s="62">
        <v>0</v>
      </c>
      <c r="BS123" s="62">
        <v>0</v>
      </c>
      <c r="BT123" s="62">
        <v>0</v>
      </c>
      <c r="BU123" s="62">
        <v>0</v>
      </c>
      <c r="BV123" s="62">
        <v>0</v>
      </c>
      <c r="BW123" s="62">
        <v>0</v>
      </c>
      <c r="BX123" s="62">
        <v>0</v>
      </c>
      <c r="BY123" s="62" t="s">
        <v>455</v>
      </c>
      <c r="BZ123" s="62" t="s">
        <v>453</v>
      </c>
      <c r="CA123" s="62" t="s">
        <v>456</v>
      </c>
      <c r="CB123" s="64"/>
      <c r="CC123" s="62">
        <v>2</v>
      </c>
      <c r="CD123" s="62">
        <v>2</v>
      </c>
      <c r="CE123" s="62">
        <v>0</v>
      </c>
      <c r="CF123" s="62"/>
      <c r="CG123" s="62" t="s">
        <v>473</v>
      </c>
    </row>
    <row r="124" s="53" customFormat="1" ht="13.5" spans="1:85">
      <c r="A124" s="62" t="s">
        <v>17</v>
      </c>
      <c r="B124" s="62" t="s">
        <v>668</v>
      </c>
      <c r="C124" s="62">
        <v>12800</v>
      </c>
      <c r="D124" s="62"/>
      <c r="E124" s="62" t="s">
        <v>673</v>
      </c>
      <c r="F124" s="62" t="b">
        <f>IF(COUNTIF(按提示输入属性!D8,E124)&gt;0,TRUE,FALSE)</f>
        <v>0</v>
      </c>
      <c r="G124" s="62"/>
      <c r="H124" s="62"/>
      <c r="I124" s="62"/>
      <c r="J124" s="62"/>
      <c r="K124" s="62">
        <v>0</v>
      </c>
      <c r="L124" s="62">
        <f>INT(K124*F342)</f>
        <v>0</v>
      </c>
      <c r="M124" s="62">
        <v>3493</v>
      </c>
      <c r="N124" s="62">
        <f>INT(M124*F344)</f>
        <v>3577</v>
      </c>
      <c r="O124" s="62">
        <v>4485</v>
      </c>
      <c r="P124" s="62">
        <f>INT(O124*F344)</f>
        <v>4593</v>
      </c>
      <c r="Q124" s="62">
        <v>0</v>
      </c>
      <c r="R124" s="62">
        <f>INT(Q124*F344)</f>
        <v>0</v>
      </c>
      <c r="S124" s="62">
        <v>0</v>
      </c>
      <c r="T124" s="62">
        <f>INT(S124*F344)</f>
        <v>0</v>
      </c>
      <c r="U124" s="62">
        <v>0</v>
      </c>
      <c r="V124" s="62">
        <f>INT(U124*F344)</f>
        <v>0</v>
      </c>
      <c r="W124" s="62">
        <v>4709</v>
      </c>
      <c r="X124" s="62">
        <f>INT(W124*F344)</f>
        <v>4822</v>
      </c>
      <c r="Y124" s="62">
        <v>0</v>
      </c>
      <c r="Z124" s="62">
        <v>0</v>
      </c>
      <c r="AA124" s="62">
        <v>0</v>
      </c>
      <c r="AB124" s="62">
        <v>0</v>
      </c>
      <c r="AC124" s="62">
        <v>0</v>
      </c>
      <c r="AD124" s="62">
        <v>0</v>
      </c>
      <c r="AE124" s="62">
        <v>1</v>
      </c>
      <c r="AF124" s="62">
        <v>0</v>
      </c>
      <c r="AG124" s="62">
        <v>0</v>
      </c>
      <c r="AH124" s="62">
        <v>1</v>
      </c>
      <c r="AI124" s="62">
        <v>0</v>
      </c>
      <c r="AJ124" s="62"/>
      <c r="AK124" s="62"/>
      <c r="AL124" s="62"/>
      <c r="AM124" s="62"/>
      <c r="AN124" s="62"/>
      <c r="AO124" s="62"/>
      <c r="AP124" s="62" t="s">
        <v>626</v>
      </c>
      <c r="AQ124" s="62">
        <v>3</v>
      </c>
      <c r="AR124" s="62" t="s">
        <v>473</v>
      </c>
      <c r="AS124" s="62">
        <v>1</v>
      </c>
      <c r="AT124" s="62" t="s">
        <v>450</v>
      </c>
      <c r="AU124" s="62" t="s">
        <v>450</v>
      </c>
      <c r="AV124" s="62" t="s">
        <v>450</v>
      </c>
      <c r="AW124" s="62">
        <v>0</v>
      </c>
      <c r="AX124" s="62">
        <v>0</v>
      </c>
      <c r="AY124" s="62">
        <v>0</v>
      </c>
      <c r="AZ124" s="62">
        <v>0</v>
      </c>
      <c r="BA124" s="62" t="s">
        <v>453</v>
      </c>
      <c r="BB124" s="62" t="s">
        <v>487</v>
      </c>
      <c r="BC124" s="62" t="s">
        <v>490</v>
      </c>
      <c r="BD124" s="62" t="s">
        <v>456</v>
      </c>
      <c r="BE124" s="62" t="s">
        <v>456</v>
      </c>
      <c r="BF124" s="62" t="s">
        <v>456</v>
      </c>
      <c r="BG124" s="62" t="s">
        <v>456</v>
      </c>
      <c r="BH124" s="62" t="s">
        <v>456</v>
      </c>
      <c r="BI124" s="62" t="s">
        <v>456</v>
      </c>
      <c r="BJ124" s="62" t="s">
        <v>456</v>
      </c>
      <c r="BK124" s="62" t="s">
        <v>456</v>
      </c>
      <c r="BL124" s="62" t="s">
        <v>456</v>
      </c>
      <c r="BM124" s="62">
        <v>2876</v>
      </c>
      <c r="BN124" s="62">
        <v>4616</v>
      </c>
      <c r="BO124" s="62">
        <v>2769</v>
      </c>
      <c r="BP124" s="62">
        <v>0</v>
      </c>
      <c r="BQ124" s="62">
        <v>0</v>
      </c>
      <c r="BR124" s="62">
        <v>0</v>
      </c>
      <c r="BS124" s="62">
        <v>0</v>
      </c>
      <c r="BT124" s="62">
        <v>0</v>
      </c>
      <c r="BU124" s="62">
        <v>0</v>
      </c>
      <c r="BV124" s="62">
        <v>0</v>
      </c>
      <c r="BW124" s="62">
        <v>0</v>
      </c>
      <c r="BX124" s="62">
        <v>0</v>
      </c>
      <c r="BY124" s="62" t="s">
        <v>454</v>
      </c>
      <c r="BZ124" s="62" t="s">
        <v>453</v>
      </c>
      <c r="CA124" s="62" t="s">
        <v>456</v>
      </c>
      <c r="CB124" s="64"/>
      <c r="CC124" s="62">
        <v>2</v>
      </c>
      <c r="CD124" s="62">
        <v>2</v>
      </c>
      <c r="CE124" s="62">
        <v>0</v>
      </c>
      <c r="CF124" s="62"/>
      <c r="CG124" s="62" t="s">
        <v>473</v>
      </c>
    </row>
    <row r="125" s="53" customFormat="1" ht="13.5" spans="1:85">
      <c r="A125" s="62" t="s">
        <v>17</v>
      </c>
      <c r="B125" s="62" t="s">
        <v>668</v>
      </c>
      <c r="C125" s="62">
        <v>12800</v>
      </c>
      <c r="D125" s="62"/>
      <c r="E125" s="62" t="s">
        <v>674</v>
      </c>
      <c r="F125" s="62" t="b">
        <f>IF(COUNTIF(按提示输入属性!D8,E125)&gt;0,TRUE,FALSE)</f>
        <v>0</v>
      </c>
      <c r="G125" s="62"/>
      <c r="H125" s="62"/>
      <c r="I125" s="62"/>
      <c r="J125" s="62"/>
      <c r="K125" s="62">
        <v>0</v>
      </c>
      <c r="L125" s="62">
        <f>INT(K125*F342)</f>
        <v>0</v>
      </c>
      <c r="M125" s="62">
        <v>3855</v>
      </c>
      <c r="N125" s="62">
        <f>INT(M125*F344)</f>
        <v>3947</v>
      </c>
      <c r="O125" s="62">
        <v>2915</v>
      </c>
      <c r="P125" s="62">
        <f>INT(O125*F344)</f>
        <v>2985</v>
      </c>
      <c r="Q125" s="62">
        <v>0</v>
      </c>
      <c r="R125" s="62">
        <f>INT(Q125*F344)</f>
        <v>0</v>
      </c>
      <c r="S125" s="62">
        <v>2915</v>
      </c>
      <c r="T125" s="62">
        <f>INT(S125*F344)</f>
        <v>2985</v>
      </c>
      <c r="U125" s="62">
        <v>2691</v>
      </c>
      <c r="V125" s="62">
        <f>INT(U125*F344)</f>
        <v>2755</v>
      </c>
      <c r="W125" s="62">
        <v>0</v>
      </c>
      <c r="X125" s="62">
        <f>INT(W125*F344)</f>
        <v>0</v>
      </c>
      <c r="Y125" s="62">
        <v>0</v>
      </c>
      <c r="Z125" s="62">
        <v>0</v>
      </c>
      <c r="AA125" s="62">
        <v>0</v>
      </c>
      <c r="AB125" s="62">
        <v>0</v>
      </c>
      <c r="AC125" s="62">
        <v>0</v>
      </c>
      <c r="AD125" s="62">
        <v>0</v>
      </c>
      <c r="AE125" s="62">
        <v>1</v>
      </c>
      <c r="AF125" s="62">
        <v>1</v>
      </c>
      <c r="AG125" s="62">
        <v>0</v>
      </c>
      <c r="AH125" s="62">
        <v>0</v>
      </c>
      <c r="AI125" s="62">
        <v>0</v>
      </c>
      <c r="AJ125" s="62"/>
      <c r="AK125" s="62"/>
      <c r="AL125" s="62"/>
      <c r="AM125" s="62"/>
      <c r="AN125" s="62"/>
      <c r="AO125" s="62"/>
      <c r="AP125" s="62" t="s">
        <v>477</v>
      </c>
      <c r="AQ125" s="62">
        <v>3</v>
      </c>
      <c r="AR125" s="62" t="s">
        <v>473</v>
      </c>
      <c r="AS125" s="62">
        <v>1</v>
      </c>
      <c r="AT125" s="62" t="s">
        <v>450</v>
      </c>
      <c r="AU125" s="62" t="s">
        <v>450</v>
      </c>
      <c r="AV125" s="62" t="s">
        <v>450</v>
      </c>
      <c r="AW125" s="62">
        <v>0</v>
      </c>
      <c r="AX125" s="62">
        <v>0</v>
      </c>
      <c r="AY125" s="62">
        <v>0</v>
      </c>
      <c r="AZ125" s="62">
        <v>0</v>
      </c>
      <c r="BA125" s="62" t="s">
        <v>453</v>
      </c>
      <c r="BB125" s="62" t="s">
        <v>455</v>
      </c>
      <c r="BC125" s="62" t="s">
        <v>487</v>
      </c>
      <c r="BD125" s="62" t="s">
        <v>490</v>
      </c>
      <c r="BE125" s="62" t="s">
        <v>456</v>
      </c>
      <c r="BF125" s="62" t="s">
        <v>456</v>
      </c>
      <c r="BG125" s="62" t="s">
        <v>456</v>
      </c>
      <c r="BH125" s="62" t="s">
        <v>456</v>
      </c>
      <c r="BI125" s="62" t="s">
        <v>456</v>
      </c>
      <c r="BJ125" s="62" t="s">
        <v>456</v>
      </c>
      <c r="BK125" s="62" t="s">
        <v>456</v>
      </c>
      <c r="BL125" s="62" t="s">
        <v>456</v>
      </c>
      <c r="BM125" s="62">
        <v>2876</v>
      </c>
      <c r="BN125" s="62">
        <v>2031</v>
      </c>
      <c r="BO125" s="62">
        <v>3508</v>
      </c>
      <c r="BP125" s="62">
        <v>1846</v>
      </c>
      <c r="BQ125" s="62">
        <v>0</v>
      </c>
      <c r="BR125" s="62">
        <v>0</v>
      </c>
      <c r="BS125" s="62">
        <v>0</v>
      </c>
      <c r="BT125" s="62">
        <v>0</v>
      </c>
      <c r="BU125" s="62">
        <v>0</v>
      </c>
      <c r="BV125" s="62">
        <v>0</v>
      </c>
      <c r="BW125" s="62">
        <v>0</v>
      </c>
      <c r="BX125" s="62">
        <v>0</v>
      </c>
      <c r="BY125" s="62" t="s">
        <v>454</v>
      </c>
      <c r="BZ125" s="62" t="s">
        <v>453</v>
      </c>
      <c r="CA125" s="62" t="s">
        <v>456</v>
      </c>
      <c r="CB125" s="64"/>
      <c r="CC125" s="62">
        <v>2</v>
      </c>
      <c r="CD125" s="62">
        <v>2</v>
      </c>
      <c r="CE125" s="62">
        <v>0</v>
      </c>
      <c r="CF125" s="62"/>
      <c r="CG125" s="62" t="s">
        <v>473</v>
      </c>
    </row>
    <row r="126" s="52" customFormat="1" ht="13.5" spans="1:85">
      <c r="A126" s="61" t="s">
        <v>17</v>
      </c>
      <c r="B126" s="61" t="s">
        <v>675</v>
      </c>
      <c r="C126" s="61">
        <v>12600</v>
      </c>
      <c r="D126" s="61"/>
      <c r="E126" s="61" t="s">
        <v>676</v>
      </c>
      <c r="F126" s="61" t="b">
        <f>IF(COUNTIF(按提示输入属性!D8,E126)&gt;0,TRUE,FALSE)</f>
        <v>0</v>
      </c>
      <c r="G126" s="61"/>
      <c r="H126" s="61"/>
      <c r="I126" s="61"/>
      <c r="J126" s="61"/>
      <c r="K126" s="61">
        <v>792</v>
      </c>
      <c r="L126" s="61">
        <f>INT(K126*F342)</f>
        <v>851</v>
      </c>
      <c r="M126" s="61">
        <v>1541</v>
      </c>
      <c r="N126" s="61">
        <f>INT(M126*F342)</f>
        <v>1656</v>
      </c>
      <c r="O126" s="61">
        <v>3973</v>
      </c>
      <c r="P126" s="61">
        <f>INT(O126*F342)</f>
        <v>4271</v>
      </c>
      <c r="Q126" s="61">
        <v>0</v>
      </c>
      <c r="R126" s="61">
        <f>INT(Q126*F342)</f>
        <v>0</v>
      </c>
      <c r="S126" s="61">
        <v>0</v>
      </c>
      <c r="T126" s="61">
        <f>INT(S126*F342)</f>
        <v>0</v>
      </c>
      <c r="U126" s="61">
        <v>3532</v>
      </c>
      <c r="V126" s="61">
        <f>INT(U126*F342)</f>
        <v>3797</v>
      </c>
      <c r="W126" s="61">
        <v>0</v>
      </c>
      <c r="X126" s="61">
        <f>INT(W126*F342)</f>
        <v>0</v>
      </c>
      <c r="Y126" s="61">
        <v>0</v>
      </c>
      <c r="Z126" s="61">
        <v>0</v>
      </c>
      <c r="AA126" s="61">
        <v>0</v>
      </c>
      <c r="AB126" s="61">
        <v>0</v>
      </c>
      <c r="AC126" s="61">
        <v>1</v>
      </c>
      <c r="AD126" s="61">
        <v>0</v>
      </c>
      <c r="AE126" s="61">
        <v>0</v>
      </c>
      <c r="AF126" s="61">
        <v>1</v>
      </c>
      <c r="AG126" s="61">
        <v>0</v>
      </c>
      <c r="AH126" s="61">
        <v>0</v>
      </c>
      <c r="AI126" s="61">
        <v>0</v>
      </c>
      <c r="AJ126" s="61">
        <v>1</v>
      </c>
      <c r="AK126" s="61"/>
      <c r="AL126" s="61"/>
      <c r="AM126" s="61"/>
      <c r="AN126" s="61"/>
      <c r="AO126" s="61"/>
      <c r="AP126" s="61" t="s">
        <v>468</v>
      </c>
      <c r="AQ126" s="61">
        <v>6</v>
      </c>
      <c r="AR126" s="61" t="s">
        <v>503</v>
      </c>
      <c r="AS126" s="61">
        <v>1</v>
      </c>
      <c r="AT126" s="61" t="s">
        <v>450</v>
      </c>
      <c r="AU126" s="61" t="s">
        <v>450</v>
      </c>
      <c r="AV126" s="61" t="s">
        <v>450</v>
      </c>
      <c r="AW126" s="61">
        <v>4083</v>
      </c>
      <c r="AX126" s="61">
        <v>0</v>
      </c>
      <c r="AY126" s="61">
        <v>0</v>
      </c>
      <c r="AZ126" s="61">
        <v>0</v>
      </c>
      <c r="BA126" s="61" t="s">
        <v>453</v>
      </c>
      <c r="BB126" s="61" t="s">
        <v>462</v>
      </c>
      <c r="BC126" s="61" t="s">
        <v>456</v>
      </c>
      <c r="BD126" s="61" t="s">
        <v>456</v>
      </c>
      <c r="BE126" s="61" t="s">
        <v>456</v>
      </c>
      <c r="BF126" s="61" t="s">
        <v>456</v>
      </c>
      <c r="BG126" s="61" t="s">
        <v>456</v>
      </c>
      <c r="BH126" s="61" t="s">
        <v>456</v>
      </c>
      <c r="BI126" s="61" t="s">
        <v>456</v>
      </c>
      <c r="BJ126" s="61" t="s">
        <v>456</v>
      </c>
      <c r="BK126" s="61" t="s">
        <v>456</v>
      </c>
      <c r="BL126" s="61" t="s">
        <v>456</v>
      </c>
      <c r="BM126" s="61">
        <v>4817</v>
      </c>
      <c r="BN126" s="61">
        <v>9363</v>
      </c>
      <c r="BO126" s="61">
        <v>0</v>
      </c>
      <c r="BP126" s="61">
        <v>0</v>
      </c>
      <c r="BQ126" s="61">
        <v>0</v>
      </c>
      <c r="BR126" s="61">
        <v>0</v>
      </c>
      <c r="BS126" s="61">
        <v>0</v>
      </c>
      <c r="BT126" s="61">
        <v>0</v>
      </c>
      <c r="BU126" s="61">
        <v>0</v>
      </c>
      <c r="BV126" s="61">
        <v>0</v>
      </c>
      <c r="BW126" s="61">
        <v>0</v>
      </c>
      <c r="BX126" s="61">
        <v>0</v>
      </c>
      <c r="BY126" s="61" t="s">
        <v>487</v>
      </c>
      <c r="BZ126" s="61" t="s">
        <v>462</v>
      </c>
      <c r="CA126" s="61" t="s">
        <v>456</v>
      </c>
      <c r="CB126" s="66"/>
      <c r="CC126" s="61">
        <v>2</v>
      </c>
      <c r="CD126" s="61">
        <v>2</v>
      </c>
      <c r="CE126" s="61">
        <v>0</v>
      </c>
      <c r="CF126" s="61"/>
      <c r="CG126" s="61" t="s">
        <v>473</v>
      </c>
    </row>
    <row r="127" s="52" customFormat="1" ht="13.5" spans="1:85">
      <c r="A127" s="61" t="s">
        <v>17</v>
      </c>
      <c r="B127" s="61" t="s">
        <v>677</v>
      </c>
      <c r="C127" s="61">
        <v>12450</v>
      </c>
      <c r="D127" s="61"/>
      <c r="E127" s="61" t="s">
        <v>678</v>
      </c>
      <c r="F127" s="61" t="b">
        <f>IF(COUNTIF(按提示输入属性!D8,E127)&gt;0,TRUE,FALSE)</f>
        <v>0</v>
      </c>
      <c r="G127" s="61"/>
      <c r="H127" s="61"/>
      <c r="I127" s="61"/>
      <c r="J127" s="61"/>
      <c r="K127" s="61">
        <v>782</v>
      </c>
      <c r="L127" s="61">
        <f>INT(K127*F342)</f>
        <v>840</v>
      </c>
      <c r="M127" s="61">
        <v>1523</v>
      </c>
      <c r="N127" s="61">
        <f>INT(M127*F342)</f>
        <v>1637</v>
      </c>
      <c r="O127" s="61">
        <v>3926</v>
      </c>
      <c r="P127" s="61">
        <f>INT(O127*F342)</f>
        <v>4221</v>
      </c>
      <c r="Q127" s="61">
        <v>0</v>
      </c>
      <c r="R127" s="61">
        <f>INT(Q127*F342)</f>
        <v>0</v>
      </c>
      <c r="S127" s="61">
        <v>0</v>
      </c>
      <c r="T127" s="61">
        <f>INT(S127*F342)</f>
        <v>0</v>
      </c>
      <c r="U127" s="61">
        <v>0</v>
      </c>
      <c r="V127" s="61">
        <f>INT(U127*F342)</f>
        <v>0</v>
      </c>
      <c r="W127" s="61">
        <v>3490</v>
      </c>
      <c r="X127" s="61">
        <f>INT(W127*F342)</f>
        <v>3752</v>
      </c>
      <c r="Y127" s="61">
        <v>0</v>
      </c>
      <c r="Z127" s="61">
        <v>0</v>
      </c>
      <c r="AA127" s="61">
        <v>0</v>
      </c>
      <c r="AB127" s="61">
        <v>0</v>
      </c>
      <c r="AC127" s="61">
        <v>0</v>
      </c>
      <c r="AD127" s="61">
        <v>0</v>
      </c>
      <c r="AE127" s="61">
        <v>0</v>
      </c>
      <c r="AF127" s="61">
        <v>1</v>
      </c>
      <c r="AG127" s="61">
        <v>0</v>
      </c>
      <c r="AH127" s="61">
        <v>1</v>
      </c>
      <c r="AI127" s="61">
        <v>0</v>
      </c>
      <c r="AJ127" s="61"/>
      <c r="AK127" s="61"/>
      <c r="AL127" s="61"/>
      <c r="AM127" s="61"/>
      <c r="AN127" s="61"/>
      <c r="AO127" s="61"/>
      <c r="AP127" s="61" t="s">
        <v>460</v>
      </c>
      <c r="AQ127" s="61">
        <v>6</v>
      </c>
      <c r="AR127" s="61" t="s">
        <v>449</v>
      </c>
      <c r="AS127" s="61">
        <v>1</v>
      </c>
      <c r="AT127" s="61" t="s">
        <v>450</v>
      </c>
      <c r="AU127" s="61" t="s">
        <v>450</v>
      </c>
      <c r="AV127" s="61" t="s">
        <v>450</v>
      </c>
      <c r="AW127" s="61">
        <v>4035</v>
      </c>
      <c r="AX127" s="61">
        <v>0</v>
      </c>
      <c r="AY127" s="61">
        <v>0</v>
      </c>
      <c r="AZ127" s="61">
        <v>0</v>
      </c>
      <c r="BA127" s="61" t="s">
        <v>453</v>
      </c>
      <c r="BB127" s="61" t="s">
        <v>487</v>
      </c>
      <c r="BC127" s="61" t="s">
        <v>462</v>
      </c>
      <c r="BD127" s="61" t="s">
        <v>456</v>
      </c>
      <c r="BE127" s="61" t="s">
        <v>456</v>
      </c>
      <c r="BF127" s="61" t="s">
        <v>456</v>
      </c>
      <c r="BG127" s="61" t="s">
        <v>456</v>
      </c>
      <c r="BH127" s="61" t="s">
        <v>456</v>
      </c>
      <c r="BI127" s="61" t="s">
        <v>456</v>
      </c>
      <c r="BJ127" s="61" t="s">
        <v>456</v>
      </c>
      <c r="BK127" s="61" t="s">
        <v>456</v>
      </c>
      <c r="BL127" s="61" t="s">
        <v>456</v>
      </c>
      <c r="BM127" s="61">
        <v>4109</v>
      </c>
      <c r="BN127" s="61">
        <v>5275</v>
      </c>
      <c r="BO127" s="61">
        <v>5539</v>
      </c>
      <c r="BP127" s="61">
        <v>0</v>
      </c>
      <c r="BQ127" s="61">
        <v>0</v>
      </c>
      <c r="BR127" s="61">
        <v>0</v>
      </c>
      <c r="BS127" s="61">
        <v>0</v>
      </c>
      <c r="BT127" s="61">
        <v>0</v>
      </c>
      <c r="BU127" s="61">
        <v>0</v>
      </c>
      <c r="BV127" s="61">
        <v>0</v>
      </c>
      <c r="BW127" s="61">
        <v>0</v>
      </c>
      <c r="BX127" s="61">
        <v>0</v>
      </c>
      <c r="BY127" s="61" t="s">
        <v>490</v>
      </c>
      <c r="BZ127" s="61" t="s">
        <v>462</v>
      </c>
      <c r="CA127" s="61" t="s">
        <v>456</v>
      </c>
      <c r="CB127" s="66"/>
      <c r="CC127" s="61">
        <v>2</v>
      </c>
      <c r="CD127" s="61">
        <v>2</v>
      </c>
      <c r="CE127" s="61">
        <v>0</v>
      </c>
      <c r="CF127" s="61"/>
      <c r="CG127" s="61" t="s">
        <v>473</v>
      </c>
    </row>
    <row r="128" s="52" customFormat="1" ht="13.5" spans="1:85">
      <c r="A128" s="61" t="s">
        <v>17</v>
      </c>
      <c r="B128" s="61" t="s">
        <v>679</v>
      </c>
      <c r="C128" s="61">
        <v>12450</v>
      </c>
      <c r="D128" s="61"/>
      <c r="E128" s="61" t="s">
        <v>680</v>
      </c>
      <c r="F128" s="61" t="b">
        <f>IF(COUNTIF(按提示输入属性!D8,E128)&gt;0,TRUE,FALSE)</f>
        <v>0</v>
      </c>
      <c r="G128" s="61"/>
      <c r="H128" s="61"/>
      <c r="I128" s="61"/>
      <c r="J128" s="61"/>
      <c r="K128" s="61">
        <v>782</v>
      </c>
      <c r="L128" s="61">
        <f>INT(K128*F342)</f>
        <v>840</v>
      </c>
      <c r="M128" s="61">
        <v>1523</v>
      </c>
      <c r="N128" s="61">
        <f>INT(M128*F342)</f>
        <v>1637</v>
      </c>
      <c r="O128" s="61">
        <v>0</v>
      </c>
      <c r="P128" s="61">
        <f>INT(O128*F342)</f>
        <v>0</v>
      </c>
      <c r="Q128" s="61">
        <v>0</v>
      </c>
      <c r="R128" s="61">
        <f>INT(Q128*F342)</f>
        <v>0</v>
      </c>
      <c r="S128" s="61">
        <v>0</v>
      </c>
      <c r="T128" s="61">
        <f>INT(S128*F342)</f>
        <v>0</v>
      </c>
      <c r="U128" s="61">
        <v>3490</v>
      </c>
      <c r="V128" s="61">
        <f>INT(U128*F342)</f>
        <v>3752</v>
      </c>
      <c r="W128" s="61">
        <v>0</v>
      </c>
      <c r="X128" s="61">
        <f>INT(W128*F342)</f>
        <v>0</v>
      </c>
      <c r="Y128" s="61">
        <v>3926</v>
      </c>
      <c r="Z128" s="61">
        <v>0</v>
      </c>
      <c r="AA128" s="61">
        <v>0</v>
      </c>
      <c r="AB128" s="61">
        <v>1</v>
      </c>
      <c r="AC128" s="61">
        <v>0</v>
      </c>
      <c r="AD128" s="61">
        <v>0</v>
      </c>
      <c r="AE128" s="61">
        <v>0</v>
      </c>
      <c r="AF128" s="61">
        <v>1</v>
      </c>
      <c r="AG128" s="61">
        <v>0</v>
      </c>
      <c r="AH128" s="61">
        <v>0</v>
      </c>
      <c r="AI128" s="61">
        <v>0</v>
      </c>
      <c r="AJ128" s="61"/>
      <c r="AK128" s="61"/>
      <c r="AL128" s="61"/>
      <c r="AM128" s="61"/>
      <c r="AN128" s="61"/>
      <c r="AO128" s="61"/>
      <c r="AP128" s="61" t="s">
        <v>448</v>
      </c>
      <c r="AQ128" s="61">
        <v>6</v>
      </c>
      <c r="AR128" s="61" t="s">
        <v>449</v>
      </c>
      <c r="AS128" s="61">
        <v>1</v>
      </c>
      <c r="AT128" s="61" t="s">
        <v>450</v>
      </c>
      <c r="AU128" s="61" t="s">
        <v>450</v>
      </c>
      <c r="AV128" s="61" t="s">
        <v>450</v>
      </c>
      <c r="AW128" s="61">
        <v>4035</v>
      </c>
      <c r="AX128" s="61">
        <v>0</v>
      </c>
      <c r="AY128" s="61">
        <v>0</v>
      </c>
      <c r="AZ128" s="61">
        <v>0</v>
      </c>
      <c r="BA128" s="61" t="s">
        <v>453</v>
      </c>
      <c r="BB128" s="61" t="s">
        <v>455</v>
      </c>
      <c r="BC128" s="61" t="s">
        <v>454</v>
      </c>
      <c r="BD128" s="61" t="s">
        <v>462</v>
      </c>
      <c r="BE128" s="61" t="s">
        <v>456</v>
      </c>
      <c r="BF128" s="61" t="s">
        <v>456</v>
      </c>
      <c r="BG128" s="61" t="s">
        <v>456</v>
      </c>
      <c r="BH128" s="61" t="s">
        <v>456</v>
      </c>
      <c r="BI128" s="61" t="s">
        <v>456</v>
      </c>
      <c r="BJ128" s="61" t="s">
        <v>456</v>
      </c>
      <c r="BK128" s="61" t="s">
        <v>456</v>
      </c>
      <c r="BL128" s="61" t="s">
        <v>456</v>
      </c>
      <c r="BM128" s="61">
        <v>4109</v>
      </c>
      <c r="BN128" s="61">
        <v>3692</v>
      </c>
      <c r="BO128" s="61">
        <v>4484</v>
      </c>
      <c r="BP128" s="61">
        <v>2637</v>
      </c>
      <c r="BQ128" s="61">
        <v>0</v>
      </c>
      <c r="BR128" s="61">
        <v>0</v>
      </c>
      <c r="BS128" s="61">
        <v>0</v>
      </c>
      <c r="BT128" s="61">
        <v>0</v>
      </c>
      <c r="BU128" s="61">
        <v>0</v>
      </c>
      <c r="BV128" s="61">
        <v>0</v>
      </c>
      <c r="BW128" s="61">
        <v>0</v>
      </c>
      <c r="BX128" s="61">
        <v>0</v>
      </c>
      <c r="BY128" s="61" t="s">
        <v>487</v>
      </c>
      <c r="BZ128" s="61" t="s">
        <v>462</v>
      </c>
      <c r="CA128" s="61" t="s">
        <v>456</v>
      </c>
      <c r="CB128" s="66"/>
      <c r="CC128" s="61">
        <v>2</v>
      </c>
      <c r="CD128" s="61">
        <v>2</v>
      </c>
      <c r="CE128" s="61">
        <v>0</v>
      </c>
      <c r="CF128" s="61"/>
      <c r="CG128" s="61" t="s">
        <v>473</v>
      </c>
    </row>
    <row r="129" s="52" customFormat="1" ht="13.5" spans="1:85">
      <c r="A129" s="61" t="s">
        <v>17</v>
      </c>
      <c r="B129" s="61" t="s">
        <v>681</v>
      </c>
      <c r="C129" s="61">
        <v>12450</v>
      </c>
      <c r="D129" s="61"/>
      <c r="E129" s="61" t="s">
        <v>682</v>
      </c>
      <c r="F129" s="61" t="b">
        <f>IF(COUNTIF(按提示输入属性!D8,E129)&gt;0,TRUE,FALSE)</f>
        <v>0</v>
      </c>
      <c r="G129" s="61"/>
      <c r="H129" s="61"/>
      <c r="I129" s="61"/>
      <c r="J129" s="61"/>
      <c r="K129" s="61">
        <v>782</v>
      </c>
      <c r="L129" s="61">
        <f>INT(K129*F342)</f>
        <v>840</v>
      </c>
      <c r="M129" s="61">
        <v>1523</v>
      </c>
      <c r="N129" s="61">
        <f>INT(M129*F342)</f>
        <v>1637</v>
      </c>
      <c r="O129" s="61">
        <v>3926</v>
      </c>
      <c r="P129" s="61">
        <f>INT(O129*F342)</f>
        <v>4221</v>
      </c>
      <c r="Q129" s="61">
        <v>0</v>
      </c>
      <c r="R129" s="61">
        <f>INT(Q129*F342)</f>
        <v>0</v>
      </c>
      <c r="S129" s="61">
        <v>0</v>
      </c>
      <c r="T129" s="61">
        <f>INT(S129*F342)</f>
        <v>0</v>
      </c>
      <c r="U129" s="61">
        <v>3490</v>
      </c>
      <c r="V129" s="61">
        <f>INT(U129*F342)</f>
        <v>3752</v>
      </c>
      <c r="W129" s="61">
        <v>0</v>
      </c>
      <c r="X129" s="61">
        <f>INT(W129*F342)</f>
        <v>0</v>
      </c>
      <c r="Y129" s="61">
        <v>0</v>
      </c>
      <c r="Z129" s="61">
        <v>0</v>
      </c>
      <c r="AA129" s="61">
        <v>0</v>
      </c>
      <c r="AB129" s="61">
        <v>0</v>
      </c>
      <c r="AC129" s="61">
        <v>1</v>
      </c>
      <c r="AD129" s="61">
        <v>0</v>
      </c>
      <c r="AE129" s="61">
        <v>0</v>
      </c>
      <c r="AF129" s="61">
        <v>1</v>
      </c>
      <c r="AG129" s="61">
        <v>0</v>
      </c>
      <c r="AH129" s="61">
        <v>0</v>
      </c>
      <c r="AI129" s="61">
        <v>0</v>
      </c>
      <c r="AJ129" s="61"/>
      <c r="AK129" s="61"/>
      <c r="AL129" s="61"/>
      <c r="AM129" s="61"/>
      <c r="AN129" s="61"/>
      <c r="AO129" s="61"/>
      <c r="AP129" s="61" t="s">
        <v>468</v>
      </c>
      <c r="AQ129" s="61">
        <v>6</v>
      </c>
      <c r="AR129" s="61" t="s">
        <v>524</v>
      </c>
      <c r="AS129" s="61">
        <v>1</v>
      </c>
      <c r="AT129" s="61" t="s">
        <v>450</v>
      </c>
      <c r="AU129" s="61" t="s">
        <v>450</v>
      </c>
      <c r="AV129" s="61" t="s">
        <v>450</v>
      </c>
      <c r="AW129" s="61">
        <v>4035</v>
      </c>
      <c r="AX129" s="61">
        <v>0</v>
      </c>
      <c r="AY129" s="61">
        <v>0</v>
      </c>
      <c r="AZ129" s="61">
        <v>0</v>
      </c>
      <c r="BA129" s="61" t="s">
        <v>453</v>
      </c>
      <c r="BB129" s="61" t="s">
        <v>454</v>
      </c>
      <c r="BC129" s="61" t="s">
        <v>456</v>
      </c>
      <c r="BD129" s="61" t="s">
        <v>456</v>
      </c>
      <c r="BE129" s="61" t="s">
        <v>456</v>
      </c>
      <c r="BF129" s="61" t="s">
        <v>456</v>
      </c>
      <c r="BG129" s="61" t="s">
        <v>456</v>
      </c>
      <c r="BH129" s="61" t="s">
        <v>456</v>
      </c>
      <c r="BI129" s="61" t="s">
        <v>456</v>
      </c>
      <c r="BJ129" s="61" t="s">
        <v>456</v>
      </c>
      <c r="BK129" s="61" t="s">
        <v>456</v>
      </c>
      <c r="BL129" s="61" t="s">
        <v>456</v>
      </c>
      <c r="BM129" s="61">
        <v>3372</v>
      </c>
      <c r="BN129" s="61">
        <v>6554</v>
      </c>
      <c r="BO129" s="61">
        <v>0</v>
      </c>
      <c r="BP129" s="61">
        <v>0</v>
      </c>
      <c r="BQ129" s="61">
        <v>0</v>
      </c>
      <c r="BR129" s="61">
        <v>0</v>
      </c>
      <c r="BS129" s="61">
        <v>0</v>
      </c>
      <c r="BT129" s="61">
        <v>0</v>
      </c>
      <c r="BU129" s="61">
        <v>0</v>
      </c>
      <c r="BV129" s="61">
        <v>0</v>
      </c>
      <c r="BW129" s="61">
        <v>0</v>
      </c>
      <c r="BX129" s="61">
        <v>0</v>
      </c>
      <c r="BY129" s="61" t="s">
        <v>455</v>
      </c>
      <c r="BZ129" s="61" t="s">
        <v>453</v>
      </c>
      <c r="CA129" s="61" t="s">
        <v>456</v>
      </c>
      <c r="CB129" s="66"/>
      <c r="CC129" s="61">
        <v>2</v>
      </c>
      <c r="CD129" s="61">
        <v>2</v>
      </c>
      <c r="CE129" s="61">
        <v>0</v>
      </c>
      <c r="CF129" s="61"/>
      <c r="CG129" s="61" t="s">
        <v>473</v>
      </c>
    </row>
    <row r="130" s="52" customFormat="1" ht="13.5" spans="1:85">
      <c r="A130" s="61" t="s">
        <v>17</v>
      </c>
      <c r="B130" s="61" t="s">
        <v>683</v>
      </c>
      <c r="C130" s="61">
        <v>12450</v>
      </c>
      <c r="D130" s="61"/>
      <c r="E130" s="61" t="s">
        <v>684</v>
      </c>
      <c r="F130" s="61" t="b">
        <f>IF(COUNTIF(按提示输入属性!D8,E130)&gt;0,TRUE,FALSE)</f>
        <v>0</v>
      </c>
      <c r="G130" s="61"/>
      <c r="H130" s="61"/>
      <c r="I130" s="61"/>
      <c r="J130" s="61"/>
      <c r="K130" s="61">
        <v>782</v>
      </c>
      <c r="L130" s="61">
        <f>INT(K130*F342)</f>
        <v>840</v>
      </c>
      <c r="M130" s="61">
        <v>1523</v>
      </c>
      <c r="N130" s="61">
        <f>INT(M130*F342)</f>
        <v>1637</v>
      </c>
      <c r="O130" s="61">
        <v>3926</v>
      </c>
      <c r="P130" s="61">
        <f>INT(O130*F342)</f>
        <v>4221</v>
      </c>
      <c r="Q130" s="61">
        <v>0</v>
      </c>
      <c r="R130" s="61">
        <f>INT(Q130*F342)</f>
        <v>0</v>
      </c>
      <c r="S130" s="61">
        <v>0</v>
      </c>
      <c r="T130" s="61">
        <f>INT(S130*F342)</f>
        <v>0</v>
      </c>
      <c r="U130" s="61">
        <v>3490</v>
      </c>
      <c r="V130" s="61">
        <f>INT(U130*F342)</f>
        <v>3752</v>
      </c>
      <c r="W130" s="61">
        <v>0</v>
      </c>
      <c r="X130" s="61">
        <f>INT(W130*F342)</f>
        <v>0</v>
      </c>
      <c r="Y130" s="61">
        <v>0</v>
      </c>
      <c r="Z130" s="61">
        <v>0</v>
      </c>
      <c r="AA130" s="61">
        <v>0</v>
      </c>
      <c r="AB130" s="61">
        <v>0</v>
      </c>
      <c r="AC130" s="61">
        <v>1</v>
      </c>
      <c r="AD130" s="61">
        <v>0</v>
      </c>
      <c r="AE130" s="61">
        <v>0</v>
      </c>
      <c r="AF130" s="61">
        <v>1</v>
      </c>
      <c r="AG130" s="61">
        <v>0</v>
      </c>
      <c r="AH130" s="61">
        <v>0</v>
      </c>
      <c r="AI130" s="61">
        <v>0</v>
      </c>
      <c r="AJ130" s="61"/>
      <c r="AK130" s="61"/>
      <c r="AL130" s="61"/>
      <c r="AM130" s="61"/>
      <c r="AN130" s="61"/>
      <c r="AO130" s="61"/>
      <c r="AP130" s="61" t="s">
        <v>468</v>
      </c>
      <c r="AQ130" s="61">
        <v>6</v>
      </c>
      <c r="AR130" s="61" t="s">
        <v>469</v>
      </c>
      <c r="AS130" s="61">
        <v>1</v>
      </c>
      <c r="AT130" s="61" t="s">
        <v>450</v>
      </c>
      <c r="AU130" s="61" t="s">
        <v>450</v>
      </c>
      <c r="AV130" s="61" t="s">
        <v>450</v>
      </c>
      <c r="AW130" s="61">
        <v>4035</v>
      </c>
      <c r="AX130" s="61">
        <v>0</v>
      </c>
      <c r="AY130" s="61">
        <v>0</v>
      </c>
      <c r="AZ130" s="61">
        <v>0</v>
      </c>
      <c r="BA130" s="61" t="s">
        <v>453</v>
      </c>
      <c r="BB130" s="61" t="s">
        <v>455</v>
      </c>
      <c r="BC130" s="61" t="s">
        <v>462</v>
      </c>
      <c r="BD130" s="61" t="s">
        <v>456</v>
      </c>
      <c r="BE130" s="61" t="s">
        <v>456</v>
      </c>
      <c r="BF130" s="61" t="s">
        <v>456</v>
      </c>
      <c r="BG130" s="61" t="s">
        <v>456</v>
      </c>
      <c r="BH130" s="61" t="s">
        <v>456</v>
      </c>
      <c r="BI130" s="61" t="s">
        <v>456</v>
      </c>
      <c r="BJ130" s="61" t="s">
        <v>456</v>
      </c>
      <c r="BK130" s="61" t="s">
        <v>456</v>
      </c>
      <c r="BL130" s="61" t="s">
        <v>456</v>
      </c>
      <c r="BM130" s="61">
        <v>2876</v>
      </c>
      <c r="BN130" s="61">
        <v>3785</v>
      </c>
      <c r="BO130" s="61">
        <v>3785</v>
      </c>
      <c r="BP130" s="61">
        <v>0</v>
      </c>
      <c r="BQ130" s="61">
        <v>0</v>
      </c>
      <c r="BR130" s="61">
        <v>0</v>
      </c>
      <c r="BS130" s="61">
        <v>0</v>
      </c>
      <c r="BT130" s="61">
        <v>0</v>
      </c>
      <c r="BU130" s="61">
        <v>0</v>
      </c>
      <c r="BV130" s="61">
        <v>0</v>
      </c>
      <c r="BW130" s="61">
        <v>0</v>
      </c>
      <c r="BX130" s="61">
        <v>0</v>
      </c>
      <c r="BY130" s="61" t="s">
        <v>487</v>
      </c>
      <c r="BZ130" s="61" t="s">
        <v>462</v>
      </c>
      <c r="CA130" s="61" t="s">
        <v>456</v>
      </c>
      <c r="CB130" s="66"/>
      <c r="CC130" s="61">
        <v>2</v>
      </c>
      <c r="CD130" s="61">
        <v>2</v>
      </c>
      <c r="CE130" s="61">
        <v>0</v>
      </c>
      <c r="CF130" s="61"/>
      <c r="CG130" s="61" t="s">
        <v>473</v>
      </c>
    </row>
    <row r="131" s="52" customFormat="1" ht="13.5" spans="1:85">
      <c r="A131" s="61" t="s">
        <v>17</v>
      </c>
      <c r="B131" s="61" t="s">
        <v>685</v>
      </c>
      <c r="C131" s="61">
        <v>12450</v>
      </c>
      <c r="D131" s="61"/>
      <c r="E131" s="61" t="s">
        <v>686</v>
      </c>
      <c r="F131" s="61" t="b">
        <f>IF(COUNTIF(按提示输入属性!D8,E131)&gt;0,TRUE,FALSE)</f>
        <v>0</v>
      </c>
      <c r="G131" s="61"/>
      <c r="H131" s="61"/>
      <c r="I131" s="61"/>
      <c r="J131" s="61"/>
      <c r="K131" s="61">
        <v>782</v>
      </c>
      <c r="L131" s="61">
        <f>INT(K131*F342)</f>
        <v>840</v>
      </c>
      <c r="M131" s="61">
        <v>1523</v>
      </c>
      <c r="N131" s="61">
        <f>INT(M131*F342)</f>
        <v>1637</v>
      </c>
      <c r="O131" s="61">
        <v>3926</v>
      </c>
      <c r="P131" s="61">
        <f>INT(O131*F342)</f>
        <v>4221</v>
      </c>
      <c r="Q131" s="61">
        <v>0</v>
      </c>
      <c r="R131" s="61">
        <f>INT(Q131*F342)</f>
        <v>0</v>
      </c>
      <c r="S131" s="61">
        <v>0</v>
      </c>
      <c r="T131" s="61">
        <f>INT(S131*F342)</f>
        <v>0</v>
      </c>
      <c r="U131" s="61">
        <v>0</v>
      </c>
      <c r="V131" s="61">
        <f>INT(U131*F342)</f>
        <v>0</v>
      </c>
      <c r="W131" s="61">
        <v>3490</v>
      </c>
      <c r="X131" s="61">
        <f>INT(W131*F342)</f>
        <v>3752</v>
      </c>
      <c r="Y131" s="61">
        <v>0</v>
      </c>
      <c r="Z131" s="61">
        <v>0</v>
      </c>
      <c r="AA131" s="61">
        <v>0</v>
      </c>
      <c r="AB131" s="61">
        <v>0</v>
      </c>
      <c r="AC131" s="61">
        <v>0</v>
      </c>
      <c r="AD131" s="61">
        <v>0</v>
      </c>
      <c r="AE131" s="61">
        <v>0</v>
      </c>
      <c r="AF131" s="61">
        <v>1</v>
      </c>
      <c r="AG131" s="61">
        <v>0</v>
      </c>
      <c r="AH131" s="61">
        <v>1</v>
      </c>
      <c r="AI131" s="61">
        <v>0</v>
      </c>
      <c r="AJ131" s="61"/>
      <c r="AK131" s="61"/>
      <c r="AL131" s="61"/>
      <c r="AM131" s="61"/>
      <c r="AN131" s="61"/>
      <c r="AO131" s="61"/>
      <c r="AP131" s="61" t="s">
        <v>460</v>
      </c>
      <c r="AQ131" s="61">
        <v>6</v>
      </c>
      <c r="AR131" s="61" t="s">
        <v>499</v>
      </c>
      <c r="AS131" s="61">
        <v>1</v>
      </c>
      <c r="AT131" s="61" t="s">
        <v>450</v>
      </c>
      <c r="AU131" s="61" t="s">
        <v>450</v>
      </c>
      <c r="AV131" s="61" t="s">
        <v>450</v>
      </c>
      <c r="AW131" s="61">
        <v>4035</v>
      </c>
      <c r="AX131" s="61">
        <v>0</v>
      </c>
      <c r="AY131" s="61">
        <v>0</v>
      </c>
      <c r="AZ131" s="61">
        <v>0</v>
      </c>
      <c r="BA131" s="61" t="s">
        <v>453</v>
      </c>
      <c r="BB131" s="61" t="s">
        <v>487</v>
      </c>
      <c r="BC131" s="61" t="s">
        <v>490</v>
      </c>
      <c r="BD131" s="61" t="s">
        <v>462</v>
      </c>
      <c r="BE131" s="61" t="s">
        <v>456</v>
      </c>
      <c r="BF131" s="61" t="s">
        <v>456</v>
      </c>
      <c r="BG131" s="61" t="s">
        <v>456</v>
      </c>
      <c r="BH131" s="61" t="s">
        <v>456</v>
      </c>
      <c r="BI131" s="61" t="s">
        <v>456</v>
      </c>
      <c r="BJ131" s="61" t="s">
        <v>456</v>
      </c>
      <c r="BK131" s="61" t="s">
        <v>456</v>
      </c>
      <c r="BL131" s="61" t="s">
        <v>456</v>
      </c>
      <c r="BM131" s="61">
        <v>2876</v>
      </c>
      <c r="BN131" s="61">
        <v>3508</v>
      </c>
      <c r="BO131" s="61">
        <v>1846</v>
      </c>
      <c r="BP131" s="61">
        <v>2031</v>
      </c>
      <c r="BQ131" s="61">
        <v>0</v>
      </c>
      <c r="BR131" s="61">
        <v>0</v>
      </c>
      <c r="BS131" s="61">
        <v>0</v>
      </c>
      <c r="BT131" s="61">
        <v>0</v>
      </c>
      <c r="BU131" s="61">
        <v>0</v>
      </c>
      <c r="BV131" s="61">
        <v>0</v>
      </c>
      <c r="BW131" s="61">
        <v>0</v>
      </c>
      <c r="BX131" s="61">
        <v>0</v>
      </c>
      <c r="BY131" s="61" t="s">
        <v>454</v>
      </c>
      <c r="BZ131" s="61" t="s">
        <v>462</v>
      </c>
      <c r="CA131" s="61" t="s">
        <v>456</v>
      </c>
      <c r="CB131" s="66"/>
      <c r="CC131" s="61">
        <v>2</v>
      </c>
      <c r="CD131" s="61">
        <v>2</v>
      </c>
      <c r="CE131" s="61">
        <v>0</v>
      </c>
      <c r="CF131" s="61"/>
      <c r="CG131" s="61" t="s">
        <v>473</v>
      </c>
    </row>
    <row r="132" s="52" customFormat="1" ht="13.5" spans="1:85">
      <c r="A132" s="61" t="s">
        <v>17</v>
      </c>
      <c r="B132" s="61" t="s">
        <v>687</v>
      </c>
      <c r="C132" s="61">
        <v>12300</v>
      </c>
      <c r="D132" s="61"/>
      <c r="E132" s="61" t="s">
        <v>688</v>
      </c>
      <c r="F132" s="61" t="b">
        <f>IF(COUNTIF(按提示输入属性!D8,E132)&gt;0,TRUE,FALSE)</f>
        <v>0</v>
      </c>
      <c r="G132" s="61"/>
      <c r="H132" s="61"/>
      <c r="I132" s="61"/>
      <c r="J132" s="61"/>
      <c r="K132" s="61">
        <v>773</v>
      </c>
      <c r="L132" s="61">
        <f>INT(K132*F342)</f>
        <v>831</v>
      </c>
      <c r="M132" s="61">
        <v>1505</v>
      </c>
      <c r="N132" s="61">
        <f>INT(M132*F342)</f>
        <v>1618</v>
      </c>
      <c r="O132" s="61">
        <v>0</v>
      </c>
      <c r="P132" s="61">
        <f>INT(O132*F342)</f>
        <v>0</v>
      </c>
      <c r="Q132" s="61">
        <v>0</v>
      </c>
      <c r="R132" s="61">
        <f>INT(Q132*F342)</f>
        <v>0</v>
      </c>
      <c r="S132" s="61">
        <v>3879</v>
      </c>
      <c r="T132" s="61">
        <f>INT(S132*F342)</f>
        <v>4170</v>
      </c>
      <c r="U132" s="61">
        <v>3448</v>
      </c>
      <c r="V132" s="61">
        <f>INT(U132*F342)</f>
        <v>3707</v>
      </c>
      <c r="W132" s="61">
        <v>0</v>
      </c>
      <c r="X132" s="61">
        <f>INT(W132*F342)</f>
        <v>0</v>
      </c>
      <c r="Y132" s="61">
        <v>0</v>
      </c>
      <c r="Z132" s="61">
        <v>0</v>
      </c>
      <c r="AA132" s="61">
        <v>0</v>
      </c>
      <c r="AB132" s="61">
        <v>1</v>
      </c>
      <c r="AC132" s="61">
        <v>1</v>
      </c>
      <c r="AD132" s="61">
        <v>0</v>
      </c>
      <c r="AE132" s="61">
        <v>0</v>
      </c>
      <c r="AF132" s="61">
        <v>0</v>
      </c>
      <c r="AG132" s="61">
        <v>0</v>
      </c>
      <c r="AH132" s="61">
        <v>0</v>
      </c>
      <c r="AI132" s="61">
        <v>0</v>
      </c>
      <c r="AJ132" s="61"/>
      <c r="AK132" s="61"/>
      <c r="AL132" s="61">
        <v>1</v>
      </c>
      <c r="AM132" s="61"/>
      <c r="AN132" s="61"/>
      <c r="AO132" s="61"/>
      <c r="AP132" s="61" t="s">
        <v>465</v>
      </c>
      <c r="AQ132" s="61">
        <v>6</v>
      </c>
      <c r="AR132" s="61" t="s">
        <v>529</v>
      </c>
      <c r="AS132" s="61">
        <v>1</v>
      </c>
      <c r="AT132" s="61" t="s">
        <v>450</v>
      </c>
      <c r="AU132" s="61" t="s">
        <v>450</v>
      </c>
      <c r="AV132" s="61" t="s">
        <v>450</v>
      </c>
      <c r="AW132" s="61">
        <v>3986</v>
      </c>
      <c r="AX132" s="61">
        <v>0</v>
      </c>
      <c r="AY132" s="61">
        <v>0</v>
      </c>
      <c r="AZ132" s="61">
        <v>0</v>
      </c>
      <c r="BA132" s="61" t="s">
        <v>453</v>
      </c>
      <c r="BB132" s="61" t="s">
        <v>462</v>
      </c>
      <c r="BC132" s="61" t="s">
        <v>456</v>
      </c>
      <c r="BD132" s="61" t="s">
        <v>456</v>
      </c>
      <c r="BE132" s="61" t="s">
        <v>456</v>
      </c>
      <c r="BF132" s="61" t="s">
        <v>456</v>
      </c>
      <c r="BG132" s="61" t="s">
        <v>456</v>
      </c>
      <c r="BH132" s="61" t="s">
        <v>456</v>
      </c>
      <c r="BI132" s="61" t="s">
        <v>456</v>
      </c>
      <c r="BJ132" s="61" t="s">
        <v>456</v>
      </c>
      <c r="BK132" s="61" t="s">
        <v>456</v>
      </c>
      <c r="BL132" s="61" t="s">
        <v>456</v>
      </c>
      <c r="BM132" s="61">
        <v>4096</v>
      </c>
      <c r="BN132" s="61">
        <v>7960</v>
      </c>
      <c r="BO132" s="61">
        <v>0</v>
      </c>
      <c r="BP132" s="61">
        <v>0</v>
      </c>
      <c r="BQ132" s="61">
        <v>0</v>
      </c>
      <c r="BR132" s="61">
        <v>0</v>
      </c>
      <c r="BS132" s="61">
        <v>0</v>
      </c>
      <c r="BT132" s="61">
        <v>0</v>
      </c>
      <c r="BU132" s="61">
        <v>0</v>
      </c>
      <c r="BV132" s="61">
        <v>0</v>
      </c>
      <c r="BW132" s="61">
        <v>0</v>
      </c>
      <c r="BX132" s="61">
        <v>0</v>
      </c>
      <c r="BY132" s="61" t="s">
        <v>487</v>
      </c>
      <c r="BZ132" s="61" t="s">
        <v>462</v>
      </c>
      <c r="CA132" s="61" t="s">
        <v>456</v>
      </c>
      <c r="CB132" s="66"/>
      <c r="CC132" s="61">
        <v>2</v>
      </c>
      <c r="CD132" s="61">
        <v>2</v>
      </c>
      <c r="CE132" s="61">
        <v>0</v>
      </c>
      <c r="CF132" s="61"/>
      <c r="CG132" s="61" t="s">
        <v>473</v>
      </c>
    </row>
    <row r="133" s="52" customFormat="1" ht="13.5" spans="1:85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>
        <f>INT(K133*F342)</f>
        <v>0</v>
      </c>
      <c r="M133" s="61"/>
      <c r="N133" s="61">
        <f>INT(M133*F342)</f>
        <v>0</v>
      </c>
      <c r="O133" s="61"/>
      <c r="P133" s="61">
        <f>INT(O133*F342)</f>
        <v>0</v>
      </c>
      <c r="Q133" s="61"/>
      <c r="R133" s="61">
        <f>INT(Q133*F342)</f>
        <v>0</v>
      </c>
      <c r="S133" s="61"/>
      <c r="T133" s="61">
        <f>INT(S133*F342)</f>
        <v>0</v>
      </c>
      <c r="U133" s="61"/>
      <c r="V133" s="61">
        <f>INT(U133*F342)</f>
        <v>0</v>
      </c>
      <c r="W133" s="61"/>
      <c r="X133" s="61">
        <f>INT(W133*F342)</f>
        <v>0</v>
      </c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6"/>
      <c r="CC133" s="61"/>
      <c r="CD133" s="61"/>
      <c r="CE133" s="61"/>
      <c r="CF133" s="61"/>
      <c r="CG133" s="61"/>
    </row>
    <row r="134" s="52" customFormat="1" ht="13.5" spans="1:85">
      <c r="A134" s="61" t="s">
        <v>689</v>
      </c>
      <c r="B134" s="61" t="s">
        <v>690</v>
      </c>
      <c r="C134" s="61">
        <v>14150</v>
      </c>
      <c r="D134" s="61"/>
      <c r="E134" s="61" t="s">
        <v>691</v>
      </c>
      <c r="F134" s="61" t="b">
        <f>IF(COUNTIF(按提示输入属性!D9,E134)&gt;0,TRUE,FALSE)</f>
        <v>0</v>
      </c>
      <c r="G134" s="61"/>
      <c r="H134" s="61"/>
      <c r="I134" s="61"/>
      <c r="J134" s="61"/>
      <c r="K134" s="61">
        <v>988</v>
      </c>
      <c r="L134" s="61">
        <f>INT(K134*F342)</f>
        <v>1062</v>
      </c>
      <c r="M134" s="61">
        <v>1923</v>
      </c>
      <c r="N134" s="61">
        <f>INT(M134*F342)</f>
        <v>2067</v>
      </c>
      <c r="O134" s="61">
        <v>0</v>
      </c>
      <c r="P134" s="61">
        <f>INT(O134*F342)</f>
        <v>0</v>
      </c>
      <c r="Q134" s="61">
        <v>0</v>
      </c>
      <c r="R134" s="61">
        <f>INT(Q134*F342)</f>
        <v>0</v>
      </c>
      <c r="S134" s="61">
        <v>4958</v>
      </c>
      <c r="T134" s="61">
        <f>INT(S134*F342)</f>
        <v>5331</v>
      </c>
      <c r="U134" s="61">
        <v>0</v>
      </c>
      <c r="V134" s="61">
        <f>INT(U134*F342)</f>
        <v>0</v>
      </c>
      <c r="W134" s="61">
        <v>4407</v>
      </c>
      <c r="X134" s="61">
        <f>INT(W134*F342)</f>
        <v>4738</v>
      </c>
      <c r="Y134" s="61">
        <v>0</v>
      </c>
      <c r="Z134" s="61">
        <v>0</v>
      </c>
      <c r="AA134" s="61">
        <v>0</v>
      </c>
      <c r="AB134" s="61">
        <v>1</v>
      </c>
      <c r="AC134" s="61">
        <v>0</v>
      </c>
      <c r="AD134" s="61">
        <v>1</v>
      </c>
      <c r="AE134" s="61">
        <v>0</v>
      </c>
      <c r="AF134" s="61">
        <v>0</v>
      </c>
      <c r="AG134" s="61">
        <v>0</v>
      </c>
      <c r="AH134" s="61">
        <v>0</v>
      </c>
      <c r="AI134" s="61">
        <v>0</v>
      </c>
      <c r="AJ134" s="61"/>
      <c r="AK134" s="61">
        <v>1</v>
      </c>
      <c r="AL134" s="61"/>
      <c r="AM134" s="61"/>
      <c r="AN134" s="61"/>
      <c r="AO134" s="61"/>
      <c r="AP134" s="61" t="s">
        <v>486</v>
      </c>
      <c r="AQ134" s="61">
        <v>6</v>
      </c>
      <c r="AR134" s="61" t="s">
        <v>503</v>
      </c>
      <c r="AS134" s="61">
        <v>1</v>
      </c>
      <c r="AT134" s="61" t="s">
        <v>450</v>
      </c>
      <c r="AU134" s="61" t="s">
        <v>450</v>
      </c>
      <c r="AV134" s="61" t="s">
        <v>450</v>
      </c>
      <c r="AW134" s="61">
        <v>5095</v>
      </c>
      <c r="AX134" s="61">
        <v>0</v>
      </c>
      <c r="AY134" s="61">
        <v>0</v>
      </c>
      <c r="AZ134" s="61">
        <v>0</v>
      </c>
      <c r="BA134" s="61" t="s">
        <v>453</v>
      </c>
      <c r="BB134" s="61" t="s">
        <v>454</v>
      </c>
      <c r="BC134" s="61" t="s">
        <v>487</v>
      </c>
      <c r="BD134" s="61" t="s">
        <v>490</v>
      </c>
      <c r="BE134" s="61" t="s">
        <v>456</v>
      </c>
      <c r="BF134" s="61" t="s">
        <v>456</v>
      </c>
      <c r="BG134" s="61" t="s">
        <v>456</v>
      </c>
      <c r="BH134" s="61" t="s">
        <v>456</v>
      </c>
      <c r="BI134" s="61" t="s">
        <v>456</v>
      </c>
      <c r="BJ134" s="61" t="s">
        <v>456</v>
      </c>
      <c r="BK134" s="61" t="s">
        <v>456</v>
      </c>
      <c r="BL134" s="61" t="s">
        <v>456</v>
      </c>
      <c r="BM134" s="61">
        <v>2717</v>
      </c>
      <c r="BN134" s="61">
        <v>2529</v>
      </c>
      <c r="BO134" s="61">
        <v>2703</v>
      </c>
      <c r="BP134" s="61">
        <v>1744</v>
      </c>
      <c r="BQ134" s="61">
        <v>0</v>
      </c>
      <c r="BR134" s="61">
        <v>0</v>
      </c>
      <c r="BS134" s="61">
        <v>0</v>
      </c>
      <c r="BT134" s="61">
        <v>0</v>
      </c>
      <c r="BU134" s="61">
        <v>0</v>
      </c>
      <c r="BV134" s="61">
        <v>0</v>
      </c>
      <c r="BW134" s="61">
        <v>0</v>
      </c>
      <c r="BX134" s="61">
        <v>0</v>
      </c>
      <c r="BY134" s="61" t="s">
        <v>455</v>
      </c>
      <c r="BZ134" s="61" t="s">
        <v>454</v>
      </c>
      <c r="CA134" s="61" t="s">
        <v>456</v>
      </c>
      <c r="CB134" s="66"/>
      <c r="CC134" s="61">
        <v>2</v>
      </c>
      <c r="CD134" s="61">
        <v>2</v>
      </c>
      <c r="CE134" s="61">
        <v>0</v>
      </c>
      <c r="CF134" s="61"/>
      <c r="CG134" s="61" t="s">
        <v>473</v>
      </c>
    </row>
    <row r="135" s="52" customFormat="1" ht="13.5" spans="1:85">
      <c r="A135" s="61" t="s">
        <v>689</v>
      </c>
      <c r="B135" s="61" t="s">
        <v>692</v>
      </c>
      <c r="C135" s="61">
        <v>13950</v>
      </c>
      <c r="D135" s="61"/>
      <c r="E135" s="61" t="s">
        <v>693</v>
      </c>
      <c r="F135" s="61" t="b">
        <f>IF(COUNTIF(按提示输入属性!D9,E135)&gt;0,TRUE,FALSE)</f>
        <v>0</v>
      </c>
      <c r="G135" s="61"/>
      <c r="H135" s="61"/>
      <c r="I135" s="61"/>
      <c r="J135" s="61"/>
      <c r="K135" s="61">
        <v>974</v>
      </c>
      <c r="L135" s="61">
        <f>INT(K135*F342)</f>
        <v>1047</v>
      </c>
      <c r="M135" s="61">
        <v>1896</v>
      </c>
      <c r="N135" s="61">
        <f>INT(M135*F342)</f>
        <v>2038</v>
      </c>
      <c r="O135" s="61">
        <v>0</v>
      </c>
      <c r="P135" s="61">
        <f>INT(O135*F342)</f>
        <v>0</v>
      </c>
      <c r="Q135" s="61">
        <v>0</v>
      </c>
      <c r="R135" s="61">
        <f>INT(Q135*F342)</f>
        <v>0</v>
      </c>
      <c r="S135" s="61">
        <v>4888</v>
      </c>
      <c r="T135" s="61">
        <f>INT(S135*F342)</f>
        <v>5255</v>
      </c>
      <c r="U135" s="61">
        <v>4344</v>
      </c>
      <c r="V135" s="61">
        <f>INT(U135*F342)</f>
        <v>4670</v>
      </c>
      <c r="W135" s="61">
        <v>0</v>
      </c>
      <c r="X135" s="61">
        <f>INT(W135*F342)</f>
        <v>0</v>
      </c>
      <c r="Y135" s="61">
        <v>0</v>
      </c>
      <c r="Z135" s="61">
        <v>0</v>
      </c>
      <c r="AA135" s="61">
        <v>0</v>
      </c>
      <c r="AB135" s="61">
        <v>1</v>
      </c>
      <c r="AC135" s="61">
        <v>0</v>
      </c>
      <c r="AD135" s="61">
        <v>1</v>
      </c>
      <c r="AE135" s="61">
        <v>0</v>
      </c>
      <c r="AF135" s="61">
        <v>0</v>
      </c>
      <c r="AG135" s="61">
        <v>0</v>
      </c>
      <c r="AH135" s="61">
        <v>0</v>
      </c>
      <c r="AI135" s="61">
        <v>0</v>
      </c>
      <c r="AJ135" s="61"/>
      <c r="AK135" s="61"/>
      <c r="AL135" s="61"/>
      <c r="AM135" s="61"/>
      <c r="AN135" s="61"/>
      <c r="AO135" s="61"/>
      <c r="AP135" s="61" t="s">
        <v>465</v>
      </c>
      <c r="AQ135" s="61">
        <v>6</v>
      </c>
      <c r="AR135" s="61" t="s">
        <v>449</v>
      </c>
      <c r="AS135" s="61">
        <v>1</v>
      </c>
      <c r="AT135" s="61" t="s">
        <v>450</v>
      </c>
      <c r="AU135" s="61" t="s">
        <v>450</v>
      </c>
      <c r="AV135" s="61" t="s">
        <v>450</v>
      </c>
      <c r="AW135" s="61">
        <v>5023</v>
      </c>
      <c r="AX135" s="61">
        <v>0</v>
      </c>
      <c r="AY135" s="61">
        <v>0</v>
      </c>
      <c r="AZ135" s="61">
        <v>0</v>
      </c>
      <c r="BA135" s="61" t="s">
        <v>453</v>
      </c>
      <c r="BB135" s="61" t="s">
        <v>454</v>
      </c>
      <c r="BC135" s="61" t="s">
        <v>456</v>
      </c>
      <c r="BD135" s="61" t="s">
        <v>456</v>
      </c>
      <c r="BE135" s="61" t="s">
        <v>456</v>
      </c>
      <c r="BF135" s="61" t="s">
        <v>456</v>
      </c>
      <c r="BG135" s="61" t="s">
        <v>456</v>
      </c>
      <c r="BH135" s="61" t="s">
        <v>456</v>
      </c>
      <c r="BI135" s="61" t="s">
        <v>456</v>
      </c>
      <c r="BJ135" s="61" t="s">
        <v>456</v>
      </c>
      <c r="BK135" s="61" t="s">
        <v>456</v>
      </c>
      <c r="BL135" s="61" t="s">
        <v>456</v>
      </c>
      <c r="BM135" s="61">
        <v>4551</v>
      </c>
      <c r="BN135" s="61">
        <v>8845</v>
      </c>
      <c r="BO135" s="61">
        <v>0</v>
      </c>
      <c r="BP135" s="61">
        <v>0</v>
      </c>
      <c r="BQ135" s="61">
        <v>0</v>
      </c>
      <c r="BR135" s="61">
        <v>0</v>
      </c>
      <c r="BS135" s="61">
        <v>0</v>
      </c>
      <c r="BT135" s="61">
        <v>0</v>
      </c>
      <c r="BU135" s="61">
        <v>0</v>
      </c>
      <c r="BV135" s="61">
        <v>0</v>
      </c>
      <c r="BW135" s="61">
        <v>0</v>
      </c>
      <c r="BX135" s="61">
        <v>0</v>
      </c>
      <c r="BY135" s="61" t="s">
        <v>455</v>
      </c>
      <c r="BZ135" s="61" t="s">
        <v>453</v>
      </c>
      <c r="CA135" s="61" t="s">
        <v>456</v>
      </c>
      <c r="CB135" s="66"/>
      <c r="CC135" s="61">
        <v>2</v>
      </c>
      <c r="CD135" s="61">
        <v>2</v>
      </c>
      <c r="CE135" s="61">
        <v>0</v>
      </c>
      <c r="CF135" s="61"/>
      <c r="CG135" s="61" t="s">
        <v>473</v>
      </c>
    </row>
    <row r="136" s="52" customFormat="1" ht="13.5" spans="1:85">
      <c r="A136" s="61" t="s">
        <v>689</v>
      </c>
      <c r="B136" s="61" t="s">
        <v>694</v>
      </c>
      <c r="C136" s="61">
        <v>13950</v>
      </c>
      <c r="D136" s="61"/>
      <c r="E136" s="61" t="s">
        <v>695</v>
      </c>
      <c r="F136" s="61" t="b">
        <f>IF(COUNTIF(按提示输入属性!D9,E136)&gt;0,TRUE,FALSE)</f>
        <v>0</v>
      </c>
      <c r="G136" s="61"/>
      <c r="H136" s="61"/>
      <c r="I136" s="61"/>
      <c r="J136" s="61"/>
      <c r="K136" s="61">
        <v>974</v>
      </c>
      <c r="L136" s="61">
        <f>INT(K136*F342)</f>
        <v>1047</v>
      </c>
      <c r="M136" s="61">
        <v>1896</v>
      </c>
      <c r="N136" s="61">
        <f>INT(M136*F342)</f>
        <v>2038</v>
      </c>
      <c r="O136" s="61">
        <v>4888</v>
      </c>
      <c r="P136" s="61">
        <f>INT(O136*F342)</f>
        <v>5255</v>
      </c>
      <c r="Q136" s="61">
        <v>0</v>
      </c>
      <c r="R136" s="61">
        <f>INT(Q136*F342)</f>
        <v>0</v>
      </c>
      <c r="S136" s="61">
        <v>0</v>
      </c>
      <c r="T136" s="61">
        <f>INT(S136*F342)</f>
        <v>0</v>
      </c>
      <c r="U136" s="61">
        <v>4344</v>
      </c>
      <c r="V136" s="61">
        <f>INT(U136*F342)</f>
        <v>4670</v>
      </c>
      <c r="W136" s="61">
        <v>0</v>
      </c>
      <c r="X136" s="61">
        <f>INT(W136*F342)</f>
        <v>0</v>
      </c>
      <c r="Y136" s="61">
        <v>0</v>
      </c>
      <c r="Z136" s="61">
        <v>0</v>
      </c>
      <c r="AA136" s="61">
        <v>0</v>
      </c>
      <c r="AB136" s="61">
        <v>0</v>
      </c>
      <c r="AC136" s="61">
        <v>1</v>
      </c>
      <c r="AD136" s="61">
        <v>1</v>
      </c>
      <c r="AE136" s="61">
        <v>0</v>
      </c>
      <c r="AF136" s="61">
        <v>0</v>
      </c>
      <c r="AG136" s="61">
        <v>0</v>
      </c>
      <c r="AH136" s="61">
        <v>0</v>
      </c>
      <c r="AI136" s="61">
        <v>0</v>
      </c>
      <c r="AJ136" s="61"/>
      <c r="AK136" s="61"/>
      <c r="AL136" s="61"/>
      <c r="AM136" s="61"/>
      <c r="AN136" s="61"/>
      <c r="AO136" s="61"/>
      <c r="AP136" s="61" t="s">
        <v>468</v>
      </c>
      <c r="AQ136" s="61">
        <v>6</v>
      </c>
      <c r="AR136" s="61" t="s">
        <v>449</v>
      </c>
      <c r="AS136" s="61">
        <v>1</v>
      </c>
      <c r="AT136" s="61" t="s">
        <v>450</v>
      </c>
      <c r="AU136" s="61" t="s">
        <v>450</v>
      </c>
      <c r="AV136" s="61" t="s">
        <v>450</v>
      </c>
      <c r="AW136" s="61">
        <v>5023</v>
      </c>
      <c r="AX136" s="61">
        <v>0</v>
      </c>
      <c r="AY136" s="61">
        <v>0</v>
      </c>
      <c r="AZ136" s="61">
        <v>0</v>
      </c>
      <c r="BA136" s="61" t="s">
        <v>453</v>
      </c>
      <c r="BB136" s="61" t="s">
        <v>455</v>
      </c>
      <c r="BC136" s="61" t="s">
        <v>462</v>
      </c>
      <c r="BD136" s="61" t="s">
        <v>456</v>
      </c>
      <c r="BE136" s="61" t="s">
        <v>456</v>
      </c>
      <c r="BF136" s="61" t="s">
        <v>456</v>
      </c>
      <c r="BG136" s="61" t="s">
        <v>456</v>
      </c>
      <c r="BH136" s="61" t="s">
        <v>456</v>
      </c>
      <c r="BI136" s="61" t="s">
        <v>456</v>
      </c>
      <c r="BJ136" s="61" t="s">
        <v>456</v>
      </c>
      <c r="BK136" s="61" t="s">
        <v>456</v>
      </c>
      <c r="BL136" s="61" t="s">
        <v>456</v>
      </c>
      <c r="BM136" s="61">
        <v>3881</v>
      </c>
      <c r="BN136" s="61">
        <v>5107</v>
      </c>
      <c r="BO136" s="61">
        <v>5107</v>
      </c>
      <c r="BP136" s="61">
        <v>0</v>
      </c>
      <c r="BQ136" s="61">
        <v>0</v>
      </c>
      <c r="BR136" s="61">
        <v>0</v>
      </c>
      <c r="BS136" s="61">
        <v>0</v>
      </c>
      <c r="BT136" s="61">
        <v>0</v>
      </c>
      <c r="BU136" s="61">
        <v>0</v>
      </c>
      <c r="BV136" s="61">
        <v>0</v>
      </c>
      <c r="BW136" s="61">
        <v>0</v>
      </c>
      <c r="BX136" s="61">
        <v>0</v>
      </c>
      <c r="BY136" s="61" t="s">
        <v>487</v>
      </c>
      <c r="BZ136" s="61" t="s">
        <v>462</v>
      </c>
      <c r="CA136" s="61" t="s">
        <v>456</v>
      </c>
      <c r="CB136" s="66"/>
      <c r="CC136" s="61">
        <v>2</v>
      </c>
      <c r="CD136" s="61">
        <v>2</v>
      </c>
      <c r="CE136" s="61">
        <v>0</v>
      </c>
      <c r="CF136" s="61"/>
      <c r="CG136" s="61" t="s">
        <v>473</v>
      </c>
    </row>
    <row r="137" s="52" customFormat="1" ht="13.5" spans="1:85">
      <c r="A137" s="61" t="s">
        <v>689</v>
      </c>
      <c r="B137" s="61" t="s">
        <v>696</v>
      </c>
      <c r="C137" s="61">
        <v>13950</v>
      </c>
      <c r="D137" s="61"/>
      <c r="E137" s="61" t="s">
        <v>697</v>
      </c>
      <c r="F137" s="61" t="b">
        <f>IF(COUNTIF(按提示输入属性!D9,E137)&gt;0,TRUE,FALSE)</f>
        <v>0</v>
      </c>
      <c r="G137" s="61"/>
      <c r="H137" s="61"/>
      <c r="I137" s="61"/>
      <c r="J137" s="61"/>
      <c r="K137" s="61">
        <v>974</v>
      </c>
      <c r="L137" s="61">
        <f>INT(K137*F342)</f>
        <v>1047</v>
      </c>
      <c r="M137" s="61">
        <v>1896</v>
      </c>
      <c r="N137" s="61">
        <f>INT(M137*F342)</f>
        <v>2038</v>
      </c>
      <c r="O137" s="61">
        <v>4888</v>
      </c>
      <c r="P137" s="61">
        <f>INT(O137*F342)</f>
        <v>5255</v>
      </c>
      <c r="Q137" s="61">
        <v>0</v>
      </c>
      <c r="R137" s="61">
        <f>INT(Q137*F342)</f>
        <v>0</v>
      </c>
      <c r="S137" s="61">
        <v>0</v>
      </c>
      <c r="T137" s="61">
        <f>INT(S137*F342)</f>
        <v>0</v>
      </c>
      <c r="U137" s="61">
        <v>0</v>
      </c>
      <c r="V137" s="61">
        <f>INT(U137*F342)</f>
        <v>0</v>
      </c>
      <c r="W137" s="61">
        <v>4344</v>
      </c>
      <c r="X137" s="61">
        <f>INT(W137*F342)</f>
        <v>4670</v>
      </c>
      <c r="Y137" s="61">
        <v>0</v>
      </c>
      <c r="Z137" s="61">
        <v>0</v>
      </c>
      <c r="AA137" s="61">
        <v>0</v>
      </c>
      <c r="AB137" s="61">
        <v>0</v>
      </c>
      <c r="AC137" s="61">
        <v>0</v>
      </c>
      <c r="AD137" s="61">
        <v>1</v>
      </c>
      <c r="AE137" s="61">
        <v>1</v>
      </c>
      <c r="AF137" s="61">
        <v>0</v>
      </c>
      <c r="AG137" s="61">
        <v>0</v>
      </c>
      <c r="AH137" s="61">
        <v>0</v>
      </c>
      <c r="AI137" s="61">
        <v>0</v>
      </c>
      <c r="AJ137" s="61"/>
      <c r="AK137" s="61"/>
      <c r="AL137" s="61"/>
      <c r="AM137" s="61"/>
      <c r="AN137" s="61"/>
      <c r="AO137" s="61"/>
      <c r="AP137" s="61" t="s">
        <v>460</v>
      </c>
      <c r="AQ137" s="61">
        <v>6</v>
      </c>
      <c r="AR137" s="61" t="s">
        <v>469</v>
      </c>
      <c r="AS137" s="61">
        <v>1</v>
      </c>
      <c r="AT137" s="61" t="s">
        <v>450</v>
      </c>
      <c r="AU137" s="61" t="s">
        <v>450</v>
      </c>
      <c r="AV137" s="61" t="s">
        <v>450</v>
      </c>
      <c r="AW137" s="61">
        <v>5023</v>
      </c>
      <c r="AX137" s="61">
        <v>0</v>
      </c>
      <c r="AY137" s="61">
        <v>0</v>
      </c>
      <c r="AZ137" s="61">
        <v>0</v>
      </c>
      <c r="BA137" s="61" t="s">
        <v>453</v>
      </c>
      <c r="BB137" s="61" t="s">
        <v>454</v>
      </c>
      <c r="BC137" s="61" t="s">
        <v>487</v>
      </c>
      <c r="BD137" s="61" t="s">
        <v>462</v>
      </c>
      <c r="BE137" s="61" t="s">
        <v>456</v>
      </c>
      <c r="BF137" s="61" t="s">
        <v>456</v>
      </c>
      <c r="BG137" s="61" t="s">
        <v>456</v>
      </c>
      <c r="BH137" s="61" t="s">
        <v>456</v>
      </c>
      <c r="BI137" s="61" t="s">
        <v>456</v>
      </c>
      <c r="BJ137" s="61" t="s">
        <v>456</v>
      </c>
      <c r="BK137" s="61" t="s">
        <v>456</v>
      </c>
      <c r="BL137" s="61" t="s">
        <v>456</v>
      </c>
      <c r="BM137" s="61">
        <v>3881</v>
      </c>
      <c r="BN137" s="61">
        <v>3488</v>
      </c>
      <c r="BO137" s="61">
        <v>3986</v>
      </c>
      <c r="BP137" s="61">
        <v>2741</v>
      </c>
      <c r="BQ137" s="61">
        <v>0</v>
      </c>
      <c r="BR137" s="61">
        <v>0</v>
      </c>
      <c r="BS137" s="61">
        <v>0</v>
      </c>
      <c r="BT137" s="61">
        <v>0</v>
      </c>
      <c r="BU137" s="61">
        <v>0</v>
      </c>
      <c r="BV137" s="61">
        <v>0</v>
      </c>
      <c r="BW137" s="61">
        <v>0</v>
      </c>
      <c r="BX137" s="61">
        <v>0</v>
      </c>
      <c r="BY137" s="61" t="s">
        <v>490</v>
      </c>
      <c r="BZ137" s="61" t="s">
        <v>453</v>
      </c>
      <c r="CA137" s="61" t="s">
        <v>456</v>
      </c>
      <c r="CB137" s="66"/>
      <c r="CC137" s="61">
        <v>2</v>
      </c>
      <c r="CD137" s="61">
        <v>2</v>
      </c>
      <c r="CE137" s="61">
        <v>0</v>
      </c>
      <c r="CF137" s="61"/>
      <c r="CG137" s="61" t="s">
        <v>473</v>
      </c>
    </row>
    <row r="138" s="52" customFormat="1" ht="13.5" spans="1:85">
      <c r="A138" s="61" t="s">
        <v>689</v>
      </c>
      <c r="B138" s="61" t="s">
        <v>698</v>
      </c>
      <c r="C138" s="61">
        <v>13750</v>
      </c>
      <c r="D138" s="61"/>
      <c r="E138" s="61" t="s">
        <v>23</v>
      </c>
      <c r="F138" s="61" t="b">
        <f>IF(COUNTIF(按提示输入属性!D9,E138)&gt;0,TRUE,FALSE)</f>
        <v>1</v>
      </c>
      <c r="G138" s="61"/>
      <c r="H138" s="61"/>
      <c r="I138" s="61"/>
      <c r="J138" s="61"/>
      <c r="K138" s="61">
        <v>960</v>
      </c>
      <c r="L138" s="61">
        <f>INT(K138*F342)</f>
        <v>1032</v>
      </c>
      <c r="M138" s="61">
        <v>1869</v>
      </c>
      <c r="N138" s="61">
        <f>INT(M138*F342)</f>
        <v>2009</v>
      </c>
      <c r="O138" s="61">
        <v>4817</v>
      </c>
      <c r="P138" s="61">
        <f>INT(O138*F342)</f>
        <v>5179</v>
      </c>
      <c r="Q138" s="61">
        <v>0</v>
      </c>
      <c r="R138" s="61">
        <f>INT(Q138*F342)</f>
        <v>0</v>
      </c>
      <c r="S138" s="61">
        <v>0</v>
      </c>
      <c r="T138" s="61">
        <f>INT(S138*F342)</f>
        <v>0</v>
      </c>
      <c r="U138" s="61">
        <v>0</v>
      </c>
      <c r="V138" s="61">
        <f>INT(U138*F342)</f>
        <v>0</v>
      </c>
      <c r="W138" s="61">
        <v>4282</v>
      </c>
      <c r="X138" s="61">
        <f>INT(W138*F342)</f>
        <v>4604</v>
      </c>
      <c r="Y138" s="61">
        <v>0</v>
      </c>
      <c r="Z138" s="61">
        <v>0</v>
      </c>
      <c r="AA138" s="61">
        <v>0</v>
      </c>
      <c r="AB138" s="61">
        <v>0</v>
      </c>
      <c r="AC138" s="61">
        <v>0</v>
      </c>
      <c r="AD138" s="61">
        <v>1</v>
      </c>
      <c r="AE138" s="61">
        <v>1</v>
      </c>
      <c r="AF138" s="61">
        <v>0</v>
      </c>
      <c r="AG138" s="61">
        <v>0</v>
      </c>
      <c r="AH138" s="61">
        <v>0</v>
      </c>
      <c r="AI138" s="61">
        <v>0</v>
      </c>
      <c r="AJ138" s="61"/>
      <c r="AK138" s="61"/>
      <c r="AL138" s="61"/>
      <c r="AM138" s="61">
        <v>1</v>
      </c>
      <c r="AN138" s="61"/>
      <c r="AO138" s="61"/>
      <c r="AP138" s="61" t="s">
        <v>460</v>
      </c>
      <c r="AQ138" s="61">
        <v>6</v>
      </c>
      <c r="AR138" s="61" t="s">
        <v>529</v>
      </c>
      <c r="AS138" s="61">
        <v>1</v>
      </c>
      <c r="AT138" s="61" t="s">
        <v>450</v>
      </c>
      <c r="AU138" s="61" t="s">
        <v>450</v>
      </c>
      <c r="AV138" s="61" t="s">
        <v>450</v>
      </c>
      <c r="AW138" s="61">
        <v>4951</v>
      </c>
      <c r="AX138" s="61">
        <v>0</v>
      </c>
      <c r="AY138" s="61">
        <v>0</v>
      </c>
      <c r="AZ138" s="61">
        <v>0</v>
      </c>
      <c r="BA138" s="61" t="s">
        <v>453</v>
      </c>
      <c r="BB138" s="61" t="s">
        <v>462</v>
      </c>
      <c r="BC138" s="61" t="s">
        <v>456</v>
      </c>
      <c r="BD138" s="61" t="s">
        <v>456</v>
      </c>
      <c r="BE138" s="61" t="s">
        <v>456</v>
      </c>
      <c r="BF138" s="61" t="s">
        <v>456</v>
      </c>
      <c r="BG138" s="61" t="s">
        <v>456</v>
      </c>
      <c r="BH138" s="61" t="s">
        <v>456</v>
      </c>
      <c r="BI138" s="61" t="s">
        <v>456</v>
      </c>
      <c r="BJ138" s="61" t="s">
        <v>456</v>
      </c>
      <c r="BK138" s="61" t="s">
        <v>456</v>
      </c>
      <c r="BL138" s="61" t="s">
        <v>456</v>
      </c>
      <c r="BM138" s="61">
        <v>3185</v>
      </c>
      <c r="BN138" s="61">
        <v>6191</v>
      </c>
      <c r="BO138" s="61">
        <v>0</v>
      </c>
      <c r="BP138" s="61">
        <v>0</v>
      </c>
      <c r="BQ138" s="61">
        <v>0</v>
      </c>
      <c r="BR138" s="61">
        <v>0</v>
      </c>
      <c r="BS138" s="61">
        <v>0</v>
      </c>
      <c r="BT138" s="61">
        <v>0</v>
      </c>
      <c r="BU138" s="61">
        <v>0</v>
      </c>
      <c r="BV138" s="61">
        <v>0</v>
      </c>
      <c r="BW138" s="61">
        <v>0</v>
      </c>
      <c r="BX138" s="61">
        <v>0</v>
      </c>
      <c r="BY138" s="61" t="s">
        <v>487</v>
      </c>
      <c r="BZ138" s="61" t="s">
        <v>462</v>
      </c>
      <c r="CA138" s="61" t="s">
        <v>456</v>
      </c>
      <c r="CB138" s="66"/>
      <c r="CC138" s="61">
        <v>2</v>
      </c>
      <c r="CD138" s="61">
        <v>2</v>
      </c>
      <c r="CE138" s="61">
        <v>0</v>
      </c>
      <c r="CF138" s="61"/>
      <c r="CG138" s="61" t="s">
        <v>473</v>
      </c>
    </row>
    <row r="139" s="52" customFormat="1" ht="13.5" spans="1:85">
      <c r="A139" s="61" t="s">
        <v>689</v>
      </c>
      <c r="B139" s="61" t="s">
        <v>699</v>
      </c>
      <c r="C139" s="61">
        <v>12600</v>
      </c>
      <c r="D139" s="61"/>
      <c r="E139" s="61" t="s">
        <v>700</v>
      </c>
      <c r="F139" s="61" t="b">
        <f>IF(COUNTIF(按提示输入属性!D9,E139)&gt;0,TRUE,FALSE)</f>
        <v>0</v>
      </c>
      <c r="G139" s="61"/>
      <c r="H139" s="61"/>
      <c r="I139" s="61"/>
      <c r="J139" s="61"/>
      <c r="K139" s="61">
        <v>880</v>
      </c>
      <c r="L139" s="61">
        <f>INT(K139*F342)</f>
        <v>946</v>
      </c>
      <c r="M139" s="61">
        <v>1713</v>
      </c>
      <c r="N139" s="61">
        <f>INT(M139*F342)</f>
        <v>1841</v>
      </c>
      <c r="O139" s="61">
        <v>0</v>
      </c>
      <c r="P139" s="61">
        <f>INT(O139*F342)</f>
        <v>0</v>
      </c>
      <c r="Q139" s="61">
        <v>0</v>
      </c>
      <c r="R139" s="61">
        <f>INT(Q139*F342)</f>
        <v>0</v>
      </c>
      <c r="S139" s="61">
        <v>4415</v>
      </c>
      <c r="T139" s="61">
        <f>INT(S139*F342)</f>
        <v>4747</v>
      </c>
      <c r="U139" s="61">
        <v>0</v>
      </c>
      <c r="V139" s="61">
        <f>INT(U139*F342)</f>
        <v>0</v>
      </c>
      <c r="W139" s="61">
        <v>3924</v>
      </c>
      <c r="X139" s="61">
        <f>INT(W139*F342)</f>
        <v>4219</v>
      </c>
      <c r="Y139" s="61">
        <v>0</v>
      </c>
      <c r="Z139" s="61">
        <v>0</v>
      </c>
      <c r="AA139" s="61">
        <v>0</v>
      </c>
      <c r="AB139" s="61">
        <v>1</v>
      </c>
      <c r="AC139" s="61">
        <v>0</v>
      </c>
      <c r="AD139" s="61">
        <v>1</v>
      </c>
      <c r="AE139" s="61">
        <v>0</v>
      </c>
      <c r="AF139" s="61">
        <v>0</v>
      </c>
      <c r="AG139" s="61">
        <v>0</v>
      </c>
      <c r="AH139" s="61">
        <v>0</v>
      </c>
      <c r="AI139" s="61">
        <v>0</v>
      </c>
      <c r="AJ139" s="61">
        <v>1</v>
      </c>
      <c r="AK139" s="61"/>
      <c r="AL139" s="61"/>
      <c r="AM139" s="61"/>
      <c r="AN139" s="61"/>
      <c r="AO139" s="61"/>
      <c r="AP139" s="61" t="s">
        <v>486</v>
      </c>
      <c r="AQ139" s="61">
        <v>6</v>
      </c>
      <c r="AR139" s="61" t="s">
        <v>503</v>
      </c>
      <c r="AS139" s="61">
        <v>1</v>
      </c>
      <c r="AT139" s="61" t="s">
        <v>450</v>
      </c>
      <c r="AU139" s="61" t="s">
        <v>450</v>
      </c>
      <c r="AV139" s="61" t="s">
        <v>450</v>
      </c>
      <c r="AW139" s="61">
        <v>4537</v>
      </c>
      <c r="AX139" s="61">
        <v>0</v>
      </c>
      <c r="AY139" s="61">
        <v>0</v>
      </c>
      <c r="AZ139" s="61">
        <v>0</v>
      </c>
      <c r="BA139" s="61" t="s">
        <v>453</v>
      </c>
      <c r="BB139" s="61" t="s">
        <v>454</v>
      </c>
      <c r="BC139" s="61" t="s">
        <v>462</v>
      </c>
      <c r="BD139" s="61" t="s">
        <v>456</v>
      </c>
      <c r="BE139" s="61" t="s">
        <v>456</v>
      </c>
      <c r="BF139" s="61" t="s">
        <v>456</v>
      </c>
      <c r="BG139" s="61" t="s">
        <v>456</v>
      </c>
      <c r="BH139" s="61" t="s">
        <v>456</v>
      </c>
      <c r="BI139" s="61" t="s">
        <v>456</v>
      </c>
      <c r="BJ139" s="61" t="s">
        <v>456</v>
      </c>
      <c r="BK139" s="61" t="s">
        <v>456</v>
      </c>
      <c r="BL139" s="61" t="s">
        <v>456</v>
      </c>
      <c r="BM139" s="61">
        <v>2717</v>
      </c>
      <c r="BN139" s="61">
        <v>3488</v>
      </c>
      <c r="BO139" s="61">
        <v>3662</v>
      </c>
      <c r="BP139" s="61">
        <v>0</v>
      </c>
      <c r="BQ139" s="61">
        <v>0</v>
      </c>
      <c r="BR139" s="61">
        <v>0</v>
      </c>
      <c r="BS139" s="61">
        <v>0</v>
      </c>
      <c r="BT139" s="61">
        <v>0</v>
      </c>
      <c r="BU139" s="61">
        <v>0</v>
      </c>
      <c r="BV139" s="61">
        <v>0</v>
      </c>
      <c r="BW139" s="61">
        <v>0</v>
      </c>
      <c r="BX139" s="61">
        <v>0</v>
      </c>
      <c r="BY139" s="61" t="s">
        <v>455</v>
      </c>
      <c r="BZ139" s="61" t="s">
        <v>453</v>
      </c>
      <c r="CA139" s="61" t="s">
        <v>456</v>
      </c>
      <c r="CB139" s="66"/>
      <c r="CC139" s="61">
        <v>2</v>
      </c>
      <c r="CD139" s="61">
        <v>2</v>
      </c>
      <c r="CE139" s="61">
        <v>0</v>
      </c>
      <c r="CF139" s="61"/>
      <c r="CG139" s="61" t="s">
        <v>473</v>
      </c>
    </row>
    <row r="140" s="52" customFormat="1" ht="13.5" spans="1:85">
      <c r="A140" s="61" t="s">
        <v>689</v>
      </c>
      <c r="B140" s="61" t="s">
        <v>701</v>
      </c>
      <c r="C140" s="61">
        <v>12450</v>
      </c>
      <c r="D140" s="61"/>
      <c r="E140" s="61" t="s">
        <v>702</v>
      </c>
      <c r="F140" s="61" t="b">
        <f>IF(COUNTIF(按提示输入属性!D9,E140)&gt;0,TRUE,FALSE)</f>
        <v>0</v>
      </c>
      <c r="G140" s="61"/>
      <c r="H140" s="61"/>
      <c r="I140" s="61"/>
      <c r="J140" s="61"/>
      <c r="K140" s="61">
        <v>869</v>
      </c>
      <c r="L140" s="61">
        <f>INT(K140*F342)</f>
        <v>934</v>
      </c>
      <c r="M140" s="61">
        <v>1692</v>
      </c>
      <c r="N140" s="61">
        <f>INT(M140*F342)</f>
        <v>1819</v>
      </c>
      <c r="O140" s="61">
        <v>0</v>
      </c>
      <c r="P140" s="61">
        <f>INT(O140*F342)</f>
        <v>0</v>
      </c>
      <c r="Q140" s="61">
        <v>0</v>
      </c>
      <c r="R140" s="61">
        <f>INT(Q140*F342)</f>
        <v>0</v>
      </c>
      <c r="S140" s="61">
        <v>4362</v>
      </c>
      <c r="T140" s="61">
        <f>INT(S140*F342)</f>
        <v>4690</v>
      </c>
      <c r="U140" s="61">
        <v>3877</v>
      </c>
      <c r="V140" s="61">
        <f>INT(U140*F342)</f>
        <v>4168</v>
      </c>
      <c r="W140" s="61">
        <v>0</v>
      </c>
      <c r="X140" s="61">
        <f>INT(W140*F342)</f>
        <v>0</v>
      </c>
      <c r="Y140" s="61">
        <v>0</v>
      </c>
      <c r="Z140" s="61">
        <v>0</v>
      </c>
      <c r="AA140" s="61">
        <v>0</v>
      </c>
      <c r="AB140" s="61">
        <v>1</v>
      </c>
      <c r="AC140" s="61">
        <v>0</v>
      </c>
      <c r="AD140" s="61">
        <v>1</v>
      </c>
      <c r="AE140" s="61">
        <v>0</v>
      </c>
      <c r="AF140" s="61">
        <v>0</v>
      </c>
      <c r="AG140" s="61">
        <v>0</v>
      </c>
      <c r="AH140" s="61">
        <v>0</v>
      </c>
      <c r="AI140" s="61">
        <v>0</v>
      </c>
      <c r="AJ140" s="61"/>
      <c r="AK140" s="61"/>
      <c r="AL140" s="61"/>
      <c r="AM140" s="61"/>
      <c r="AN140" s="61"/>
      <c r="AO140" s="61"/>
      <c r="AP140" s="61" t="s">
        <v>465</v>
      </c>
      <c r="AQ140" s="61">
        <v>6</v>
      </c>
      <c r="AR140" s="61" t="s">
        <v>449</v>
      </c>
      <c r="AS140" s="61">
        <v>1</v>
      </c>
      <c r="AT140" s="61" t="s">
        <v>450</v>
      </c>
      <c r="AU140" s="61" t="s">
        <v>450</v>
      </c>
      <c r="AV140" s="61" t="s">
        <v>450</v>
      </c>
      <c r="AW140" s="61">
        <v>4483</v>
      </c>
      <c r="AX140" s="61">
        <v>0</v>
      </c>
      <c r="AY140" s="61">
        <v>0</v>
      </c>
      <c r="AZ140" s="61">
        <v>0</v>
      </c>
      <c r="BA140" s="61" t="s">
        <v>453</v>
      </c>
      <c r="BB140" s="61" t="s">
        <v>455</v>
      </c>
      <c r="BC140" s="61" t="s">
        <v>487</v>
      </c>
      <c r="BD140" s="61" t="s">
        <v>462</v>
      </c>
      <c r="BE140" s="61" t="s">
        <v>456</v>
      </c>
      <c r="BF140" s="61" t="s">
        <v>456</v>
      </c>
      <c r="BG140" s="61" t="s">
        <v>456</v>
      </c>
      <c r="BH140" s="61" t="s">
        <v>456</v>
      </c>
      <c r="BI140" s="61" t="s">
        <v>456</v>
      </c>
      <c r="BJ140" s="61" t="s">
        <v>456</v>
      </c>
      <c r="BK140" s="61" t="s">
        <v>456</v>
      </c>
      <c r="BL140" s="61" t="s">
        <v>456</v>
      </c>
      <c r="BM140" s="61">
        <v>2717</v>
      </c>
      <c r="BN140" s="61">
        <v>1918</v>
      </c>
      <c r="BO140" s="61">
        <v>3314</v>
      </c>
      <c r="BP140" s="61">
        <v>1918</v>
      </c>
      <c r="BQ140" s="61">
        <v>0</v>
      </c>
      <c r="BR140" s="61">
        <v>0</v>
      </c>
      <c r="BS140" s="61">
        <v>0</v>
      </c>
      <c r="BT140" s="61">
        <v>0</v>
      </c>
      <c r="BU140" s="61">
        <v>0</v>
      </c>
      <c r="BV140" s="61">
        <v>0</v>
      </c>
      <c r="BW140" s="61">
        <v>0</v>
      </c>
      <c r="BX140" s="61">
        <v>0</v>
      </c>
      <c r="BY140" s="61" t="s">
        <v>454</v>
      </c>
      <c r="BZ140" s="61" t="s">
        <v>462</v>
      </c>
      <c r="CA140" s="61" t="s">
        <v>456</v>
      </c>
      <c r="CB140" s="66"/>
      <c r="CC140" s="61">
        <v>2</v>
      </c>
      <c r="CD140" s="61">
        <v>2</v>
      </c>
      <c r="CE140" s="61">
        <v>0</v>
      </c>
      <c r="CF140" s="61"/>
      <c r="CG140" s="61" t="s">
        <v>473</v>
      </c>
    </row>
    <row r="141" s="52" customFormat="1" ht="13.5" spans="1:85">
      <c r="A141" s="61" t="s">
        <v>689</v>
      </c>
      <c r="B141" s="61" t="s">
        <v>703</v>
      </c>
      <c r="C141" s="61">
        <v>12450</v>
      </c>
      <c r="D141" s="61"/>
      <c r="E141" s="61" t="s">
        <v>704</v>
      </c>
      <c r="F141" s="61" t="b">
        <f>IF(COUNTIF(按提示输入属性!D9,E141)&gt;0,TRUE,FALSE)</f>
        <v>0</v>
      </c>
      <c r="G141" s="61"/>
      <c r="H141" s="61"/>
      <c r="I141" s="61"/>
      <c r="J141" s="61"/>
      <c r="K141" s="61">
        <v>869</v>
      </c>
      <c r="L141" s="61">
        <f>INT(K141*F342)</f>
        <v>934</v>
      </c>
      <c r="M141" s="61">
        <v>1692</v>
      </c>
      <c r="N141" s="61">
        <f>INT(M141*F342)</f>
        <v>1819</v>
      </c>
      <c r="O141" s="61">
        <v>4362</v>
      </c>
      <c r="P141" s="61">
        <f>INT(O141*F342)</f>
        <v>4690</v>
      </c>
      <c r="Q141" s="61">
        <v>0</v>
      </c>
      <c r="R141" s="61">
        <f>INT(Q141*F342)</f>
        <v>0</v>
      </c>
      <c r="S141" s="61">
        <v>0</v>
      </c>
      <c r="T141" s="61">
        <f>INT(S141*F342)</f>
        <v>0</v>
      </c>
      <c r="U141" s="61">
        <v>3877</v>
      </c>
      <c r="V141" s="61">
        <f>INT(U141*F342)</f>
        <v>4168</v>
      </c>
      <c r="W141" s="61">
        <v>0</v>
      </c>
      <c r="X141" s="61">
        <f>INT(W141*F342)</f>
        <v>0</v>
      </c>
      <c r="Y141" s="61">
        <v>0</v>
      </c>
      <c r="Z141" s="61">
        <v>0</v>
      </c>
      <c r="AA141" s="61">
        <v>0</v>
      </c>
      <c r="AB141" s="61">
        <v>0</v>
      </c>
      <c r="AC141" s="61">
        <v>1</v>
      </c>
      <c r="AD141" s="61">
        <v>1</v>
      </c>
      <c r="AE141" s="61">
        <v>0</v>
      </c>
      <c r="AF141" s="61">
        <v>0</v>
      </c>
      <c r="AG141" s="61">
        <v>0</v>
      </c>
      <c r="AH141" s="61">
        <v>0</v>
      </c>
      <c r="AI141" s="61">
        <v>0</v>
      </c>
      <c r="AJ141" s="61"/>
      <c r="AK141" s="61"/>
      <c r="AL141" s="61"/>
      <c r="AM141" s="61"/>
      <c r="AN141" s="61"/>
      <c r="AO141" s="61"/>
      <c r="AP141" s="61" t="s">
        <v>468</v>
      </c>
      <c r="AQ141" s="61">
        <v>6</v>
      </c>
      <c r="AR141" s="61" t="s">
        <v>449</v>
      </c>
      <c r="AS141" s="61">
        <v>1</v>
      </c>
      <c r="AT141" s="61" t="s">
        <v>450</v>
      </c>
      <c r="AU141" s="61" t="s">
        <v>450</v>
      </c>
      <c r="AV141" s="61" t="s">
        <v>450</v>
      </c>
      <c r="AW141" s="61">
        <v>4483</v>
      </c>
      <c r="AX141" s="61">
        <v>0</v>
      </c>
      <c r="AY141" s="61">
        <v>0</v>
      </c>
      <c r="AZ141" s="61">
        <v>0</v>
      </c>
      <c r="BA141" s="61" t="s">
        <v>451</v>
      </c>
      <c r="BB141" s="61" t="s">
        <v>452</v>
      </c>
      <c r="BC141" s="61" t="s">
        <v>453</v>
      </c>
      <c r="BD141" s="61" t="s">
        <v>454</v>
      </c>
      <c r="BE141" s="61" t="s">
        <v>455</v>
      </c>
      <c r="BF141" s="61" t="s">
        <v>456</v>
      </c>
      <c r="BG141" s="61" t="s">
        <v>456</v>
      </c>
      <c r="BH141" s="61" t="s">
        <v>456</v>
      </c>
      <c r="BI141" s="61" t="s">
        <v>456</v>
      </c>
      <c r="BJ141" s="61" t="s">
        <v>456</v>
      </c>
      <c r="BK141" s="61" t="s">
        <v>456</v>
      </c>
      <c r="BL141" s="61" t="s">
        <v>456</v>
      </c>
      <c r="BM141" s="61">
        <v>3176</v>
      </c>
      <c r="BN141" s="61">
        <v>616</v>
      </c>
      <c r="BO141" s="61">
        <v>1199</v>
      </c>
      <c r="BP141" s="61">
        <v>3090</v>
      </c>
      <c r="BQ141" s="61">
        <v>2747</v>
      </c>
      <c r="BR141" s="61">
        <v>0</v>
      </c>
      <c r="BS141" s="61">
        <v>0</v>
      </c>
      <c r="BT141" s="61">
        <v>0</v>
      </c>
      <c r="BU141" s="61">
        <v>0</v>
      </c>
      <c r="BV141" s="61">
        <v>0</v>
      </c>
      <c r="BW141" s="61">
        <v>0</v>
      </c>
      <c r="BX141" s="61">
        <v>0</v>
      </c>
      <c r="BY141" s="61" t="s">
        <v>453</v>
      </c>
      <c r="BZ141" s="61" t="s">
        <v>454</v>
      </c>
      <c r="CA141" s="61" t="s">
        <v>456</v>
      </c>
      <c r="CB141" s="66"/>
      <c r="CC141" s="61">
        <v>2</v>
      </c>
      <c r="CD141" s="61">
        <v>2</v>
      </c>
      <c r="CE141" s="61">
        <v>0</v>
      </c>
      <c r="CF141" s="61"/>
      <c r="CG141" s="61" t="s">
        <v>503</v>
      </c>
    </row>
    <row r="142" s="52" customFormat="1" ht="13.5" spans="1:85">
      <c r="A142" s="61" t="s">
        <v>689</v>
      </c>
      <c r="B142" s="61" t="s">
        <v>705</v>
      </c>
      <c r="C142" s="61">
        <v>12450</v>
      </c>
      <c r="D142" s="61"/>
      <c r="E142" s="61" t="s">
        <v>706</v>
      </c>
      <c r="F142" s="61" t="b">
        <f>IF(COUNTIF(按提示输入属性!D9,E142)&gt;0,TRUE,FALSE)</f>
        <v>0</v>
      </c>
      <c r="G142" s="61"/>
      <c r="H142" s="61"/>
      <c r="I142" s="61"/>
      <c r="J142" s="61"/>
      <c r="K142" s="61">
        <v>869</v>
      </c>
      <c r="L142" s="61">
        <f>INT(K142*F342)</f>
        <v>934</v>
      </c>
      <c r="M142" s="61">
        <v>1692</v>
      </c>
      <c r="N142" s="61">
        <f>INT(M142*F342)</f>
        <v>1819</v>
      </c>
      <c r="O142" s="61">
        <v>4362</v>
      </c>
      <c r="P142" s="61">
        <f>INT(O142*F342)</f>
        <v>4690</v>
      </c>
      <c r="Q142" s="61">
        <v>0</v>
      </c>
      <c r="R142" s="61">
        <f>INT(Q142*F342)</f>
        <v>0</v>
      </c>
      <c r="S142" s="61">
        <v>0</v>
      </c>
      <c r="T142" s="61">
        <f>INT(S142*F342)</f>
        <v>0</v>
      </c>
      <c r="U142" s="61">
        <v>0</v>
      </c>
      <c r="V142" s="61">
        <f>INT(U142*F342)</f>
        <v>0</v>
      </c>
      <c r="W142" s="61">
        <v>3877</v>
      </c>
      <c r="X142" s="61">
        <f>INT(W142*F342)</f>
        <v>4168</v>
      </c>
      <c r="Y142" s="61">
        <v>0</v>
      </c>
      <c r="Z142" s="61">
        <v>0</v>
      </c>
      <c r="AA142" s="61">
        <v>0</v>
      </c>
      <c r="AB142" s="61">
        <v>0</v>
      </c>
      <c r="AC142" s="61">
        <v>0</v>
      </c>
      <c r="AD142" s="61">
        <v>1</v>
      </c>
      <c r="AE142" s="61">
        <v>1</v>
      </c>
      <c r="AF142" s="61">
        <v>0</v>
      </c>
      <c r="AG142" s="61">
        <v>0</v>
      </c>
      <c r="AH142" s="61">
        <v>0</v>
      </c>
      <c r="AI142" s="61">
        <v>0</v>
      </c>
      <c r="AJ142" s="61"/>
      <c r="AK142" s="61"/>
      <c r="AL142" s="61"/>
      <c r="AM142" s="61"/>
      <c r="AN142" s="61"/>
      <c r="AO142" s="61"/>
      <c r="AP142" s="61" t="s">
        <v>460</v>
      </c>
      <c r="AQ142" s="61">
        <v>6</v>
      </c>
      <c r="AR142" s="61" t="s">
        <v>469</v>
      </c>
      <c r="AS142" s="61">
        <v>1</v>
      </c>
      <c r="AT142" s="61" t="s">
        <v>450</v>
      </c>
      <c r="AU142" s="61" t="s">
        <v>450</v>
      </c>
      <c r="AV142" s="61" t="s">
        <v>450</v>
      </c>
      <c r="AW142" s="61">
        <v>4483</v>
      </c>
      <c r="AX142" s="61">
        <v>0</v>
      </c>
      <c r="AY142" s="61">
        <v>0</v>
      </c>
      <c r="AZ142" s="61">
        <v>0</v>
      </c>
      <c r="BA142" s="61" t="s">
        <v>451</v>
      </c>
      <c r="BB142" s="61" t="s">
        <v>452</v>
      </c>
      <c r="BC142" s="61" t="s">
        <v>453</v>
      </c>
      <c r="BD142" s="61" t="s">
        <v>461</v>
      </c>
      <c r="BE142" s="61" t="s">
        <v>455</v>
      </c>
      <c r="BF142" s="61" t="s">
        <v>456</v>
      </c>
      <c r="BG142" s="61" t="s">
        <v>456</v>
      </c>
      <c r="BH142" s="61" t="s">
        <v>456</v>
      </c>
      <c r="BI142" s="61" t="s">
        <v>456</v>
      </c>
      <c r="BJ142" s="61" t="s">
        <v>456</v>
      </c>
      <c r="BK142" s="61" t="s">
        <v>456</v>
      </c>
      <c r="BL142" s="61" t="s">
        <v>456</v>
      </c>
      <c r="BM142" s="61">
        <v>3176</v>
      </c>
      <c r="BN142" s="61">
        <v>616</v>
      </c>
      <c r="BO142" s="61">
        <v>1199</v>
      </c>
      <c r="BP142" s="61">
        <v>3090</v>
      </c>
      <c r="BQ142" s="61">
        <v>2747</v>
      </c>
      <c r="BR142" s="61">
        <v>0</v>
      </c>
      <c r="BS142" s="61">
        <v>0</v>
      </c>
      <c r="BT142" s="61">
        <v>0</v>
      </c>
      <c r="BU142" s="61">
        <v>0</v>
      </c>
      <c r="BV142" s="61">
        <v>0</v>
      </c>
      <c r="BW142" s="61">
        <v>0</v>
      </c>
      <c r="BX142" s="61">
        <v>0</v>
      </c>
      <c r="BY142" s="61" t="s">
        <v>572</v>
      </c>
      <c r="BZ142" s="61" t="s">
        <v>461</v>
      </c>
      <c r="CA142" s="61" t="s">
        <v>456</v>
      </c>
      <c r="CB142" s="66"/>
      <c r="CC142" s="61">
        <v>2</v>
      </c>
      <c r="CD142" s="61">
        <v>2</v>
      </c>
      <c r="CE142" s="61">
        <v>0</v>
      </c>
      <c r="CF142" s="61"/>
      <c r="CG142" s="61" t="s">
        <v>503</v>
      </c>
    </row>
    <row r="143" s="52" customFormat="1" ht="13.5" spans="1:85">
      <c r="A143" s="61" t="s">
        <v>689</v>
      </c>
      <c r="B143" s="61" t="s">
        <v>707</v>
      </c>
      <c r="C143" s="61">
        <v>12450</v>
      </c>
      <c r="D143" s="61"/>
      <c r="E143" s="61" t="s">
        <v>708</v>
      </c>
      <c r="F143" s="61" t="b">
        <f>IF(COUNTIF(按提示输入属性!D9,E143)&gt;0,TRUE,FALSE)</f>
        <v>0</v>
      </c>
      <c r="G143" s="61"/>
      <c r="H143" s="61"/>
      <c r="I143" s="61"/>
      <c r="J143" s="61"/>
      <c r="K143" s="61">
        <v>869</v>
      </c>
      <c r="L143" s="61">
        <f>INT(K143*F342)</f>
        <v>934</v>
      </c>
      <c r="M143" s="61">
        <v>1692</v>
      </c>
      <c r="N143" s="61">
        <f>INT(M143*F342)</f>
        <v>1819</v>
      </c>
      <c r="O143" s="61">
        <v>0</v>
      </c>
      <c r="P143" s="61">
        <f>INT(O143*F342)</f>
        <v>0</v>
      </c>
      <c r="Q143" s="61">
        <v>0</v>
      </c>
      <c r="R143" s="61">
        <f>INT(Q143*F342)</f>
        <v>0</v>
      </c>
      <c r="S143" s="61">
        <v>4362</v>
      </c>
      <c r="T143" s="61">
        <f>INT(S143*F342)</f>
        <v>4690</v>
      </c>
      <c r="U143" s="61">
        <v>3877</v>
      </c>
      <c r="V143" s="61">
        <f>INT(U143*F342)</f>
        <v>4168</v>
      </c>
      <c r="W143" s="61">
        <v>0</v>
      </c>
      <c r="X143" s="61">
        <f>INT(W143*F342)</f>
        <v>0</v>
      </c>
      <c r="Y143" s="61">
        <v>0</v>
      </c>
      <c r="Z143" s="61">
        <v>0</v>
      </c>
      <c r="AA143" s="61">
        <v>0</v>
      </c>
      <c r="AB143" s="61">
        <v>1</v>
      </c>
      <c r="AC143" s="61">
        <v>0</v>
      </c>
      <c r="AD143" s="61">
        <v>1</v>
      </c>
      <c r="AE143" s="61">
        <v>0</v>
      </c>
      <c r="AF143" s="61">
        <v>0</v>
      </c>
      <c r="AG143" s="61">
        <v>0</v>
      </c>
      <c r="AH143" s="61">
        <v>0</v>
      </c>
      <c r="AI143" s="61">
        <v>0</v>
      </c>
      <c r="AJ143" s="61"/>
      <c r="AK143" s="61"/>
      <c r="AL143" s="61"/>
      <c r="AM143" s="61"/>
      <c r="AN143" s="61"/>
      <c r="AO143" s="61"/>
      <c r="AP143" s="61" t="s">
        <v>465</v>
      </c>
      <c r="AQ143" s="61">
        <v>6</v>
      </c>
      <c r="AR143" s="61" t="s">
        <v>499</v>
      </c>
      <c r="AS143" s="61">
        <v>1</v>
      </c>
      <c r="AT143" s="61" t="s">
        <v>450</v>
      </c>
      <c r="AU143" s="61" t="s">
        <v>450</v>
      </c>
      <c r="AV143" s="61" t="s">
        <v>450</v>
      </c>
      <c r="AW143" s="61">
        <v>4483</v>
      </c>
      <c r="AX143" s="61">
        <v>0</v>
      </c>
      <c r="AY143" s="61">
        <v>0</v>
      </c>
      <c r="AZ143" s="61">
        <v>0</v>
      </c>
      <c r="BA143" s="61" t="s">
        <v>451</v>
      </c>
      <c r="BB143" s="61" t="s">
        <v>452</v>
      </c>
      <c r="BC143" s="61" t="s">
        <v>453</v>
      </c>
      <c r="BD143" s="61" t="s">
        <v>454</v>
      </c>
      <c r="BE143" s="61" t="s">
        <v>455</v>
      </c>
      <c r="BF143" s="61" t="s">
        <v>456</v>
      </c>
      <c r="BG143" s="61" t="s">
        <v>456</v>
      </c>
      <c r="BH143" s="61" t="s">
        <v>456</v>
      </c>
      <c r="BI143" s="61" t="s">
        <v>456</v>
      </c>
      <c r="BJ143" s="61" t="s">
        <v>456</v>
      </c>
      <c r="BK143" s="61" t="s">
        <v>456</v>
      </c>
      <c r="BL143" s="61" t="s">
        <v>456</v>
      </c>
      <c r="BM143" s="61">
        <v>3176</v>
      </c>
      <c r="BN143" s="61">
        <v>616</v>
      </c>
      <c r="BO143" s="61">
        <v>1199</v>
      </c>
      <c r="BP143" s="61">
        <v>3090</v>
      </c>
      <c r="BQ143" s="61">
        <v>2747</v>
      </c>
      <c r="BR143" s="61">
        <v>0</v>
      </c>
      <c r="BS143" s="61">
        <v>0</v>
      </c>
      <c r="BT143" s="61">
        <v>0</v>
      </c>
      <c r="BU143" s="61">
        <v>0</v>
      </c>
      <c r="BV143" s="61">
        <v>0</v>
      </c>
      <c r="BW143" s="61">
        <v>0</v>
      </c>
      <c r="BX143" s="61">
        <v>0</v>
      </c>
      <c r="BY143" s="61" t="s">
        <v>455</v>
      </c>
      <c r="BZ143" s="61" t="s">
        <v>461</v>
      </c>
      <c r="CA143" s="61" t="s">
        <v>456</v>
      </c>
      <c r="CB143" s="66"/>
      <c r="CC143" s="61">
        <v>2</v>
      </c>
      <c r="CD143" s="61">
        <v>2</v>
      </c>
      <c r="CE143" s="61">
        <v>0</v>
      </c>
      <c r="CF143" s="61"/>
      <c r="CG143" s="61" t="s">
        <v>503</v>
      </c>
    </row>
    <row r="144" s="52" customFormat="1" ht="13.5" spans="1:85">
      <c r="A144" s="61" t="s">
        <v>689</v>
      </c>
      <c r="B144" s="61" t="s">
        <v>709</v>
      </c>
      <c r="C144" s="61">
        <v>12300</v>
      </c>
      <c r="D144" s="61"/>
      <c r="E144" s="61" t="s">
        <v>710</v>
      </c>
      <c r="F144" s="61" t="b">
        <f>IF(COUNTIF(按提示输入属性!D9,E144)&gt;0,TRUE,FALSE)</f>
        <v>0</v>
      </c>
      <c r="G144" s="61"/>
      <c r="H144" s="61"/>
      <c r="I144" s="61"/>
      <c r="J144" s="61"/>
      <c r="K144" s="61">
        <v>859</v>
      </c>
      <c r="L144" s="61">
        <f>INT(K144*F342)</f>
        <v>923</v>
      </c>
      <c r="M144" s="61">
        <v>1672</v>
      </c>
      <c r="N144" s="61">
        <f>INT(M144*F342)</f>
        <v>1797</v>
      </c>
      <c r="O144" s="61">
        <v>4309</v>
      </c>
      <c r="P144" s="61">
        <f>INT(O144*F342)</f>
        <v>4633</v>
      </c>
      <c r="Q144" s="61">
        <v>0</v>
      </c>
      <c r="R144" s="61">
        <f>INT(Q144*F342)</f>
        <v>0</v>
      </c>
      <c r="S144" s="61">
        <v>0</v>
      </c>
      <c r="T144" s="61">
        <f>INT(S144*F342)</f>
        <v>0</v>
      </c>
      <c r="U144" s="61">
        <v>0</v>
      </c>
      <c r="V144" s="61">
        <f>INT(U144*F342)</f>
        <v>0</v>
      </c>
      <c r="W144" s="61">
        <v>3831</v>
      </c>
      <c r="X144" s="61">
        <f>INT(W144*F342)</f>
        <v>4119</v>
      </c>
      <c r="Y144" s="61">
        <v>0</v>
      </c>
      <c r="Z144" s="61">
        <v>0</v>
      </c>
      <c r="AA144" s="61">
        <v>0</v>
      </c>
      <c r="AB144" s="61">
        <v>0</v>
      </c>
      <c r="AC144" s="61">
        <v>0</v>
      </c>
      <c r="AD144" s="61">
        <v>1</v>
      </c>
      <c r="AE144" s="61">
        <v>1</v>
      </c>
      <c r="AF144" s="61">
        <v>0</v>
      </c>
      <c r="AG144" s="61">
        <v>0</v>
      </c>
      <c r="AH144" s="61">
        <v>0</v>
      </c>
      <c r="AI144" s="61">
        <v>0</v>
      </c>
      <c r="AJ144" s="61"/>
      <c r="AK144" s="61"/>
      <c r="AL144" s="61">
        <v>1</v>
      </c>
      <c r="AM144" s="61"/>
      <c r="AN144" s="61"/>
      <c r="AO144" s="61"/>
      <c r="AP144" s="61" t="s">
        <v>460</v>
      </c>
      <c r="AQ144" s="61">
        <v>6</v>
      </c>
      <c r="AR144" s="61" t="s">
        <v>529</v>
      </c>
      <c r="AS144" s="61">
        <v>1</v>
      </c>
      <c r="AT144" s="61" t="s">
        <v>450</v>
      </c>
      <c r="AU144" s="61" t="s">
        <v>450</v>
      </c>
      <c r="AV144" s="61" t="s">
        <v>450</v>
      </c>
      <c r="AW144" s="61">
        <v>4429</v>
      </c>
      <c r="AX144" s="61">
        <v>0</v>
      </c>
      <c r="AY144" s="61">
        <v>0</v>
      </c>
      <c r="AZ144" s="61">
        <v>0</v>
      </c>
      <c r="BA144" s="61" t="s">
        <v>451</v>
      </c>
      <c r="BB144" s="61" t="s">
        <v>452</v>
      </c>
      <c r="BC144" s="61" t="s">
        <v>453</v>
      </c>
      <c r="BD144" s="61" t="s">
        <v>461</v>
      </c>
      <c r="BE144" s="61" t="s">
        <v>462</v>
      </c>
      <c r="BF144" s="61" t="s">
        <v>456</v>
      </c>
      <c r="BG144" s="61" t="s">
        <v>456</v>
      </c>
      <c r="BH144" s="61" t="s">
        <v>456</v>
      </c>
      <c r="BI144" s="61" t="s">
        <v>456</v>
      </c>
      <c r="BJ144" s="61" t="s">
        <v>456</v>
      </c>
      <c r="BK144" s="61" t="s">
        <v>456</v>
      </c>
      <c r="BL144" s="61" t="s">
        <v>456</v>
      </c>
      <c r="BM144" s="61">
        <v>4537</v>
      </c>
      <c r="BN144" s="61">
        <v>880</v>
      </c>
      <c r="BO144" s="61">
        <v>1713</v>
      </c>
      <c r="BP144" s="61">
        <v>4415</v>
      </c>
      <c r="BQ144" s="61">
        <v>3924</v>
      </c>
      <c r="BR144" s="61">
        <v>0</v>
      </c>
      <c r="BS144" s="61">
        <v>0</v>
      </c>
      <c r="BT144" s="61">
        <v>0</v>
      </c>
      <c r="BU144" s="61">
        <v>0</v>
      </c>
      <c r="BV144" s="61">
        <v>0</v>
      </c>
      <c r="BW144" s="61">
        <v>0</v>
      </c>
      <c r="BX144" s="61">
        <v>0</v>
      </c>
      <c r="BY144" s="61" t="s">
        <v>455</v>
      </c>
      <c r="BZ144" s="61" t="s">
        <v>461</v>
      </c>
      <c r="CA144" s="61" t="s">
        <v>456</v>
      </c>
      <c r="CB144" s="66"/>
      <c r="CC144" s="61">
        <v>2</v>
      </c>
      <c r="CD144" s="61">
        <v>2</v>
      </c>
      <c r="CE144" s="61">
        <v>0</v>
      </c>
      <c r="CF144" s="61"/>
      <c r="CG144" s="61" t="s">
        <v>503</v>
      </c>
    </row>
    <row r="145" s="52" customFormat="1" ht="13.5" spans="1:85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>
        <f>INT(K145*F342)</f>
        <v>0</v>
      </c>
      <c r="M145" s="61"/>
      <c r="N145" s="61">
        <f>INT(M145*F342)</f>
        <v>0</v>
      </c>
      <c r="O145" s="61"/>
      <c r="P145" s="61">
        <f>INT(O145*F342)</f>
        <v>0</v>
      </c>
      <c r="Q145" s="61"/>
      <c r="R145" s="61">
        <f>INT(Q145*F342)</f>
        <v>0</v>
      </c>
      <c r="S145" s="61"/>
      <c r="T145" s="61">
        <f>INT(S145*F342)</f>
        <v>0</v>
      </c>
      <c r="U145" s="61"/>
      <c r="V145" s="61">
        <f>INT(U145*F342)</f>
        <v>0</v>
      </c>
      <c r="W145" s="61"/>
      <c r="X145" s="61">
        <f>INT(W145*F342)</f>
        <v>0</v>
      </c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6"/>
      <c r="CC145" s="61"/>
      <c r="CD145" s="61"/>
      <c r="CE145" s="61"/>
      <c r="CF145" s="61"/>
      <c r="CG145" s="61"/>
    </row>
    <row r="146" s="52" customFormat="1" ht="13.5" spans="1:85">
      <c r="A146" s="61" t="s">
        <v>39</v>
      </c>
      <c r="B146" s="61" t="s">
        <v>711</v>
      </c>
      <c r="C146" s="61">
        <v>14150</v>
      </c>
      <c r="D146" s="61"/>
      <c r="E146" s="61" t="s">
        <v>40</v>
      </c>
      <c r="F146" s="61" t="b">
        <f>IF(COUNTIF(按提示输入属性!D14,E146)&gt;0,TRUE,FALSE)</f>
        <v>1</v>
      </c>
      <c r="G146" s="61"/>
      <c r="H146" s="61"/>
      <c r="I146" s="61"/>
      <c r="J146" s="61"/>
      <c r="K146" s="61">
        <v>494</v>
      </c>
      <c r="L146" s="61">
        <f>INT(K146*F342)</f>
        <v>531</v>
      </c>
      <c r="M146" s="61">
        <v>962</v>
      </c>
      <c r="N146" s="61">
        <f>INT(M146*F342)</f>
        <v>1034</v>
      </c>
      <c r="O146" s="61">
        <v>0</v>
      </c>
      <c r="P146" s="61">
        <f>INT(O146*F342)</f>
        <v>0</v>
      </c>
      <c r="Q146" s="61">
        <v>0</v>
      </c>
      <c r="R146" s="61">
        <f>INT(Q146*F342)</f>
        <v>0</v>
      </c>
      <c r="S146" s="61">
        <v>2479</v>
      </c>
      <c r="T146" s="61">
        <f>INT(S146*F342)</f>
        <v>2665</v>
      </c>
      <c r="U146" s="61">
        <v>2203</v>
      </c>
      <c r="V146" s="61">
        <f>INT(U146*F342)</f>
        <v>2368</v>
      </c>
      <c r="W146" s="61">
        <v>0</v>
      </c>
      <c r="X146" s="61">
        <f>INT(W146*F342)</f>
        <v>0</v>
      </c>
      <c r="Y146" s="61">
        <v>0</v>
      </c>
      <c r="Z146" s="61">
        <v>0</v>
      </c>
      <c r="AA146" s="61">
        <v>0</v>
      </c>
      <c r="AB146" s="61">
        <v>0</v>
      </c>
      <c r="AC146" s="61">
        <v>1</v>
      </c>
      <c r="AD146" s="61">
        <v>0</v>
      </c>
      <c r="AE146" s="61">
        <v>0</v>
      </c>
      <c r="AF146" s="61">
        <v>0</v>
      </c>
      <c r="AG146" s="61">
        <v>0</v>
      </c>
      <c r="AH146" s="61">
        <v>0</v>
      </c>
      <c r="AI146" s="61">
        <v>0</v>
      </c>
      <c r="AJ146" s="61"/>
      <c r="AK146" s="61"/>
      <c r="AL146" s="61"/>
      <c r="AM146" s="61"/>
      <c r="AN146" s="61"/>
      <c r="AO146" s="61"/>
      <c r="AP146" s="61" t="s">
        <v>465</v>
      </c>
      <c r="AQ146" s="61">
        <v>6</v>
      </c>
      <c r="AR146" s="61" t="s">
        <v>458</v>
      </c>
      <c r="AS146" s="61">
        <v>1</v>
      </c>
      <c r="AT146" s="61" t="s">
        <v>450</v>
      </c>
      <c r="AU146" s="61" t="s">
        <v>450</v>
      </c>
      <c r="AV146" s="61" t="s">
        <v>450</v>
      </c>
      <c r="AW146" s="61">
        <v>2548</v>
      </c>
      <c r="AX146" s="61">
        <v>0</v>
      </c>
      <c r="AY146" s="61">
        <v>0</v>
      </c>
      <c r="AZ146" s="61">
        <v>0</v>
      </c>
      <c r="BA146" s="61" t="s">
        <v>451</v>
      </c>
      <c r="BB146" s="61" t="s">
        <v>452</v>
      </c>
      <c r="BC146" s="61" t="s">
        <v>453</v>
      </c>
      <c r="BD146" s="61" t="s">
        <v>454</v>
      </c>
      <c r="BE146" s="61" t="s">
        <v>462</v>
      </c>
      <c r="BF146" s="61" t="s">
        <v>456</v>
      </c>
      <c r="BG146" s="61" t="s">
        <v>456</v>
      </c>
      <c r="BH146" s="61" t="s">
        <v>456</v>
      </c>
      <c r="BI146" s="61" t="s">
        <v>456</v>
      </c>
      <c r="BJ146" s="61" t="s">
        <v>456</v>
      </c>
      <c r="BK146" s="61" t="s">
        <v>456</v>
      </c>
      <c r="BL146" s="61" t="s">
        <v>456</v>
      </c>
      <c r="BM146" s="61">
        <v>4537</v>
      </c>
      <c r="BN146" s="61">
        <v>880</v>
      </c>
      <c r="BO146" s="61">
        <v>1713</v>
      </c>
      <c r="BP146" s="61">
        <v>4415</v>
      </c>
      <c r="BQ146" s="61">
        <v>3924</v>
      </c>
      <c r="BR146" s="61">
        <v>0</v>
      </c>
      <c r="BS146" s="61">
        <v>0</v>
      </c>
      <c r="BT146" s="61">
        <v>0</v>
      </c>
      <c r="BU146" s="61">
        <v>0</v>
      </c>
      <c r="BV146" s="61">
        <v>0</v>
      </c>
      <c r="BW146" s="61">
        <v>0</v>
      </c>
      <c r="BX146" s="61">
        <v>0</v>
      </c>
      <c r="BY146" s="61" t="s">
        <v>452</v>
      </c>
      <c r="BZ146" s="61" t="s">
        <v>461</v>
      </c>
      <c r="CA146" s="61" t="s">
        <v>456</v>
      </c>
      <c r="CB146" s="66"/>
      <c r="CC146" s="61">
        <v>2</v>
      </c>
      <c r="CD146" s="61">
        <v>2</v>
      </c>
      <c r="CE146" s="61">
        <v>0</v>
      </c>
      <c r="CF146" s="61"/>
      <c r="CG146" s="61" t="s">
        <v>503</v>
      </c>
    </row>
    <row r="147" s="52" customFormat="1" ht="13.5" spans="1:85">
      <c r="A147" s="61" t="s">
        <v>39</v>
      </c>
      <c r="B147" s="61" t="s">
        <v>712</v>
      </c>
      <c r="C147" s="61">
        <v>13950</v>
      </c>
      <c r="D147" s="61"/>
      <c r="E147" s="61" t="s">
        <v>713</v>
      </c>
      <c r="F147" s="61" t="b">
        <f>IF(COUNTIF(按提示输入属性!D14,E147)&gt;0,TRUE,FALSE)</f>
        <v>0</v>
      </c>
      <c r="G147" s="61"/>
      <c r="H147" s="61"/>
      <c r="I147" s="61"/>
      <c r="J147" s="61"/>
      <c r="K147" s="61">
        <v>487</v>
      </c>
      <c r="L147" s="61">
        <f>INT(K147*F342)</f>
        <v>523</v>
      </c>
      <c r="M147" s="61">
        <v>948</v>
      </c>
      <c r="N147" s="61">
        <f>INT(M147*F342)</f>
        <v>1019</v>
      </c>
      <c r="O147" s="61">
        <v>0</v>
      </c>
      <c r="P147" s="61">
        <f>INT(O147*F342)</f>
        <v>0</v>
      </c>
      <c r="Q147" s="61">
        <v>0</v>
      </c>
      <c r="R147" s="61">
        <f>INT(Q147*F342)</f>
        <v>0</v>
      </c>
      <c r="S147" s="61">
        <v>2444</v>
      </c>
      <c r="T147" s="61">
        <f>INT(S147*F342)</f>
        <v>2627</v>
      </c>
      <c r="U147" s="61">
        <v>0</v>
      </c>
      <c r="V147" s="61">
        <f>INT(U147*F342)</f>
        <v>0</v>
      </c>
      <c r="W147" s="61">
        <v>2172</v>
      </c>
      <c r="X147" s="61">
        <f>INT(W147*F342)</f>
        <v>2335</v>
      </c>
      <c r="Y147" s="61">
        <v>0</v>
      </c>
      <c r="Z147" s="61">
        <v>0</v>
      </c>
      <c r="AA147" s="61">
        <v>0</v>
      </c>
      <c r="AB147" s="61">
        <v>0</v>
      </c>
      <c r="AC147" s="61">
        <v>0</v>
      </c>
      <c r="AD147" s="61">
        <v>0</v>
      </c>
      <c r="AE147" s="61">
        <v>0</v>
      </c>
      <c r="AF147" s="61">
        <v>0</v>
      </c>
      <c r="AG147" s="61">
        <v>0</v>
      </c>
      <c r="AH147" s="61">
        <v>1</v>
      </c>
      <c r="AI147" s="61">
        <v>0</v>
      </c>
      <c r="AJ147" s="61"/>
      <c r="AK147" s="61"/>
      <c r="AL147" s="61"/>
      <c r="AM147" s="61"/>
      <c r="AN147" s="61"/>
      <c r="AO147" s="61"/>
      <c r="AP147" s="61" t="s">
        <v>486</v>
      </c>
      <c r="AQ147" s="61">
        <v>6</v>
      </c>
      <c r="AR147" s="61" t="s">
        <v>449</v>
      </c>
      <c r="AS147" s="61">
        <v>1</v>
      </c>
      <c r="AT147" s="61" t="s">
        <v>450</v>
      </c>
      <c r="AU147" s="61" t="s">
        <v>450</v>
      </c>
      <c r="AV147" s="61" t="s">
        <v>450</v>
      </c>
      <c r="AW147" s="61">
        <v>2512</v>
      </c>
      <c r="AX147" s="61">
        <v>0</v>
      </c>
      <c r="AY147" s="61">
        <v>0</v>
      </c>
      <c r="AZ147" s="61">
        <v>0</v>
      </c>
      <c r="BA147" s="61" t="s">
        <v>451</v>
      </c>
      <c r="BB147" s="61" t="s">
        <v>452</v>
      </c>
      <c r="BC147" s="61" t="s">
        <v>453</v>
      </c>
      <c r="BD147" s="61" t="s">
        <v>454</v>
      </c>
      <c r="BE147" s="61" t="s">
        <v>455</v>
      </c>
      <c r="BF147" s="61" t="s">
        <v>456</v>
      </c>
      <c r="BG147" s="61" t="s">
        <v>456</v>
      </c>
      <c r="BH147" s="61" t="s">
        <v>456</v>
      </c>
      <c r="BI147" s="61" t="s">
        <v>456</v>
      </c>
      <c r="BJ147" s="61" t="s">
        <v>456</v>
      </c>
      <c r="BK147" s="61" t="s">
        <v>456</v>
      </c>
      <c r="BL147" s="61" t="s">
        <v>456</v>
      </c>
      <c r="BM147" s="61">
        <v>3176</v>
      </c>
      <c r="BN147" s="61">
        <v>616</v>
      </c>
      <c r="BO147" s="61">
        <v>1199</v>
      </c>
      <c r="BP147" s="61">
        <v>3090</v>
      </c>
      <c r="BQ147" s="61">
        <v>2747</v>
      </c>
      <c r="BR147" s="61">
        <v>0</v>
      </c>
      <c r="BS147" s="61">
        <v>0</v>
      </c>
      <c r="BT147" s="61">
        <v>0</v>
      </c>
      <c r="BU147" s="61">
        <v>0</v>
      </c>
      <c r="BV147" s="61">
        <v>0</v>
      </c>
      <c r="BW147" s="61">
        <v>0</v>
      </c>
      <c r="BX147" s="61">
        <v>0</v>
      </c>
      <c r="BY147" s="61" t="s">
        <v>454</v>
      </c>
      <c r="BZ147" s="61" t="s">
        <v>452</v>
      </c>
      <c r="CA147" s="61" t="s">
        <v>456</v>
      </c>
      <c r="CB147" s="66"/>
      <c r="CC147" s="61">
        <v>2</v>
      </c>
      <c r="CD147" s="61">
        <v>2</v>
      </c>
      <c r="CE147" s="61">
        <v>0</v>
      </c>
      <c r="CF147" s="61"/>
      <c r="CG147" s="61" t="s">
        <v>458</v>
      </c>
    </row>
    <row r="148" s="52" customFormat="1" ht="13.5" spans="1:85">
      <c r="A148" s="61" t="s">
        <v>39</v>
      </c>
      <c r="B148" s="61" t="s">
        <v>714</v>
      </c>
      <c r="C148" s="61">
        <v>13950</v>
      </c>
      <c r="D148" s="61"/>
      <c r="E148" s="61" t="s">
        <v>715</v>
      </c>
      <c r="F148" s="61" t="b">
        <f>IF(COUNTIF(按提示输入属性!D14,E148)&gt;0,TRUE,FALSE)</f>
        <v>0</v>
      </c>
      <c r="G148" s="61"/>
      <c r="H148" s="61"/>
      <c r="I148" s="61"/>
      <c r="J148" s="61"/>
      <c r="K148" s="61">
        <v>487</v>
      </c>
      <c r="L148" s="61">
        <f>INT(K148*F342)</f>
        <v>523</v>
      </c>
      <c r="M148" s="61">
        <v>948</v>
      </c>
      <c r="N148" s="61">
        <f>INT(M148*F342)</f>
        <v>1019</v>
      </c>
      <c r="O148" s="61">
        <v>2444</v>
      </c>
      <c r="P148" s="61">
        <f>INT(O148*F342)</f>
        <v>2627</v>
      </c>
      <c r="Q148" s="61">
        <v>0</v>
      </c>
      <c r="R148" s="61">
        <f>INT(Q148*F342)</f>
        <v>0</v>
      </c>
      <c r="S148" s="61">
        <v>0</v>
      </c>
      <c r="T148" s="61">
        <f>INT(S148*F342)</f>
        <v>0</v>
      </c>
      <c r="U148" s="61">
        <v>0</v>
      </c>
      <c r="V148" s="61">
        <f>INT(U148*F342)</f>
        <v>0</v>
      </c>
      <c r="W148" s="61">
        <v>2172</v>
      </c>
      <c r="X148" s="61">
        <f>INT(W148*F342)</f>
        <v>2335</v>
      </c>
      <c r="Y148" s="61">
        <v>0</v>
      </c>
      <c r="Z148" s="61">
        <v>0</v>
      </c>
      <c r="AA148" s="61">
        <v>0</v>
      </c>
      <c r="AB148" s="61">
        <v>0</v>
      </c>
      <c r="AC148" s="61">
        <v>0</v>
      </c>
      <c r="AD148" s="61">
        <v>0</v>
      </c>
      <c r="AE148" s="61">
        <v>0</v>
      </c>
      <c r="AF148" s="61">
        <v>1</v>
      </c>
      <c r="AG148" s="61">
        <v>0</v>
      </c>
      <c r="AH148" s="61">
        <v>0</v>
      </c>
      <c r="AI148" s="61">
        <v>0</v>
      </c>
      <c r="AJ148" s="61"/>
      <c r="AK148" s="61"/>
      <c r="AL148" s="61"/>
      <c r="AM148" s="61"/>
      <c r="AN148" s="61"/>
      <c r="AO148" s="61"/>
      <c r="AP148" s="61" t="s">
        <v>460</v>
      </c>
      <c r="AQ148" s="61">
        <v>6</v>
      </c>
      <c r="AR148" s="61" t="s">
        <v>449</v>
      </c>
      <c r="AS148" s="61">
        <v>1</v>
      </c>
      <c r="AT148" s="61" t="s">
        <v>450</v>
      </c>
      <c r="AU148" s="61" t="s">
        <v>450</v>
      </c>
      <c r="AV148" s="61" t="s">
        <v>450</v>
      </c>
      <c r="AW148" s="61">
        <v>2512</v>
      </c>
      <c r="AX148" s="61">
        <v>0</v>
      </c>
      <c r="AY148" s="61">
        <v>0</v>
      </c>
      <c r="AZ148" s="61">
        <v>0</v>
      </c>
      <c r="BA148" s="61" t="s">
        <v>451</v>
      </c>
      <c r="BB148" s="61" t="s">
        <v>452</v>
      </c>
      <c r="BC148" s="61" t="s">
        <v>453</v>
      </c>
      <c r="BD148" s="61" t="s">
        <v>461</v>
      </c>
      <c r="BE148" s="61" t="s">
        <v>462</v>
      </c>
      <c r="BF148" s="61" t="s">
        <v>456</v>
      </c>
      <c r="BG148" s="61" t="s">
        <v>456</v>
      </c>
      <c r="BH148" s="61" t="s">
        <v>456</v>
      </c>
      <c r="BI148" s="61" t="s">
        <v>456</v>
      </c>
      <c r="BJ148" s="61" t="s">
        <v>456</v>
      </c>
      <c r="BK148" s="61" t="s">
        <v>456</v>
      </c>
      <c r="BL148" s="61" t="s">
        <v>456</v>
      </c>
      <c r="BM148" s="61">
        <v>3138</v>
      </c>
      <c r="BN148" s="61">
        <v>609</v>
      </c>
      <c r="BO148" s="61">
        <v>1185</v>
      </c>
      <c r="BP148" s="61">
        <v>3053</v>
      </c>
      <c r="BQ148" s="61">
        <v>2714</v>
      </c>
      <c r="BR148" s="61">
        <v>0</v>
      </c>
      <c r="BS148" s="61">
        <v>0</v>
      </c>
      <c r="BT148" s="61">
        <v>0</v>
      </c>
      <c r="BU148" s="61">
        <v>0</v>
      </c>
      <c r="BV148" s="61">
        <v>0</v>
      </c>
      <c r="BW148" s="61">
        <v>0</v>
      </c>
      <c r="BX148" s="61">
        <v>0</v>
      </c>
      <c r="BY148" s="61" t="s">
        <v>461</v>
      </c>
      <c r="BZ148" s="61" t="s">
        <v>453</v>
      </c>
      <c r="CA148" s="61" t="s">
        <v>456</v>
      </c>
      <c r="CB148" s="66"/>
      <c r="CC148" s="61">
        <v>2</v>
      </c>
      <c r="CD148" s="61">
        <v>2</v>
      </c>
      <c r="CE148" s="61">
        <v>0</v>
      </c>
      <c r="CF148" s="61"/>
      <c r="CG148" s="61" t="s">
        <v>449</v>
      </c>
    </row>
    <row r="149" s="53" customFormat="1" ht="13.5" spans="1:85">
      <c r="A149" s="62" t="s">
        <v>39</v>
      </c>
      <c r="B149" s="62" t="s">
        <v>716</v>
      </c>
      <c r="C149" s="62">
        <v>13550</v>
      </c>
      <c r="D149" s="62"/>
      <c r="E149" s="62" t="s">
        <v>717</v>
      </c>
      <c r="F149" s="62" t="b">
        <f>IF(COUNTIF(按提示输入属性!D14,E149)&gt;0,TRUE,FALSE)</f>
        <v>0</v>
      </c>
      <c r="G149" s="62"/>
      <c r="H149" s="62"/>
      <c r="I149" s="62"/>
      <c r="J149" s="62"/>
      <c r="K149" s="62">
        <v>0</v>
      </c>
      <c r="L149" s="62">
        <f>INT(K149*F342)</f>
        <v>0</v>
      </c>
      <c r="M149" s="62">
        <v>2409</v>
      </c>
      <c r="N149" s="62">
        <f>INT(M149*F344)</f>
        <v>2467</v>
      </c>
      <c r="O149" s="62">
        <v>0</v>
      </c>
      <c r="P149" s="61">
        <f>INT(O149*F344)</f>
        <v>0</v>
      </c>
      <c r="Q149" s="62">
        <v>0</v>
      </c>
      <c r="R149" s="61">
        <f>INT(Q149*F344)</f>
        <v>0</v>
      </c>
      <c r="S149" s="62">
        <v>0</v>
      </c>
      <c r="T149" s="61">
        <f>INT(S149*F344)</f>
        <v>0</v>
      </c>
      <c r="U149" s="62">
        <v>0</v>
      </c>
      <c r="V149" s="61">
        <f>INT(U149*F344)</f>
        <v>0</v>
      </c>
      <c r="W149" s="62">
        <v>4681</v>
      </c>
      <c r="X149" s="61">
        <f>INT(W149*F344)</f>
        <v>4793</v>
      </c>
      <c r="Y149" s="62">
        <v>0</v>
      </c>
      <c r="Z149" s="62">
        <v>0</v>
      </c>
      <c r="AA149" s="62">
        <v>0</v>
      </c>
      <c r="AB149" s="62">
        <v>0</v>
      </c>
      <c r="AC149" s="62">
        <v>0</v>
      </c>
      <c r="AD149" s="62">
        <v>1</v>
      </c>
      <c r="AE149" s="62">
        <v>0</v>
      </c>
      <c r="AF149" s="62">
        <v>0</v>
      </c>
      <c r="AG149" s="62">
        <v>0</v>
      </c>
      <c r="AH149" s="62">
        <v>0</v>
      </c>
      <c r="AI149" s="62">
        <v>0</v>
      </c>
      <c r="AJ149" s="62"/>
      <c r="AK149" s="62"/>
      <c r="AL149" s="62"/>
      <c r="AM149" s="62"/>
      <c r="AN149" s="62"/>
      <c r="AO149" s="62"/>
      <c r="AP149" s="62" t="s">
        <v>568</v>
      </c>
      <c r="AQ149" s="62">
        <v>3</v>
      </c>
      <c r="AR149" s="62" t="s">
        <v>473</v>
      </c>
      <c r="AS149" s="62">
        <v>1</v>
      </c>
      <c r="AT149" s="62" t="s">
        <v>450</v>
      </c>
      <c r="AU149" s="62" t="s">
        <v>450</v>
      </c>
      <c r="AV149" s="62" t="s">
        <v>450</v>
      </c>
      <c r="AW149" s="62">
        <v>0</v>
      </c>
      <c r="AX149" s="62">
        <v>0</v>
      </c>
      <c r="AY149" s="62">
        <v>0</v>
      </c>
      <c r="AZ149" s="62">
        <v>0</v>
      </c>
      <c r="BA149" s="62" t="s">
        <v>451</v>
      </c>
      <c r="BB149" s="62" t="s">
        <v>452</v>
      </c>
      <c r="BC149" s="62" t="s">
        <v>453</v>
      </c>
      <c r="BD149" s="62" t="s">
        <v>454</v>
      </c>
      <c r="BE149" s="62" t="s">
        <v>462</v>
      </c>
      <c r="BF149" s="62" t="s">
        <v>456</v>
      </c>
      <c r="BG149" s="62" t="s">
        <v>456</v>
      </c>
      <c r="BH149" s="62" t="s">
        <v>456</v>
      </c>
      <c r="BI149" s="62" t="s">
        <v>456</v>
      </c>
      <c r="BJ149" s="62" t="s">
        <v>456</v>
      </c>
      <c r="BK149" s="62" t="s">
        <v>456</v>
      </c>
      <c r="BL149" s="62" t="s">
        <v>456</v>
      </c>
      <c r="BM149" s="62">
        <v>3138</v>
      </c>
      <c r="BN149" s="62">
        <v>609</v>
      </c>
      <c r="BO149" s="62">
        <v>1185</v>
      </c>
      <c r="BP149" s="62">
        <v>3053</v>
      </c>
      <c r="BQ149" s="62">
        <v>2714</v>
      </c>
      <c r="BR149" s="62">
        <v>0</v>
      </c>
      <c r="BS149" s="62">
        <v>0</v>
      </c>
      <c r="BT149" s="62">
        <v>0</v>
      </c>
      <c r="BU149" s="62">
        <v>0</v>
      </c>
      <c r="BV149" s="62">
        <v>0</v>
      </c>
      <c r="BW149" s="62">
        <v>0</v>
      </c>
      <c r="BX149" s="62">
        <v>0</v>
      </c>
      <c r="BY149" s="62" t="s">
        <v>462</v>
      </c>
      <c r="BZ149" s="62" t="s">
        <v>461</v>
      </c>
      <c r="CA149" s="62" t="s">
        <v>456</v>
      </c>
      <c r="CB149" s="64"/>
      <c r="CC149" s="62">
        <v>2</v>
      </c>
      <c r="CD149" s="62">
        <v>2</v>
      </c>
      <c r="CE149" s="62">
        <v>0</v>
      </c>
      <c r="CF149" s="62"/>
      <c r="CG149" s="62" t="s">
        <v>449</v>
      </c>
    </row>
    <row r="150" s="53" customFormat="1" ht="13.5" spans="1:85">
      <c r="A150" s="62" t="s">
        <v>39</v>
      </c>
      <c r="B150" s="62" t="s">
        <v>716</v>
      </c>
      <c r="C150" s="62">
        <v>13550</v>
      </c>
      <c r="D150" s="62"/>
      <c r="E150" s="62" t="s">
        <v>718</v>
      </c>
      <c r="F150" s="62" t="b">
        <f>IF(COUNTIF(按提示输入属性!D14,E150)&gt;0,TRUE,FALSE)</f>
        <v>0</v>
      </c>
      <c r="G150" s="62"/>
      <c r="H150" s="62"/>
      <c r="I150" s="62"/>
      <c r="J150" s="62"/>
      <c r="K150" s="62">
        <v>0</v>
      </c>
      <c r="L150" s="62">
        <f>INT(K150*F342)</f>
        <v>0</v>
      </c>
      <c r="M150" s="62">
        <v>2054</v>
      </c>
      <c r="N150" s="62">
        <f>INT(M150*F344)</f>
        <v>2103</v>
      </c>
      <c r="O150" s="62">
        <v>0</v>
      </c>
      <c r="P150" s="61">
        <f>INT(O150*F344)</f>
        <v>0</v>
      </c>
      <c r="Q150" s="62">
        <v>0</v>
      </c>
      <c r="R150" s="61">
        <f>INT(Q150*F344)</f>
        <v>0</v>
      </c>
      <c r="S150" s="62">
        <v>2637</v>
      </c>
      <c r="T150" s="61">
        <f>INT(S150*F344)</f>
        <v>2700</v>
      </c>
      <c r="U150" s="62">
        <v>0</v>
      </c>
      <c r="V150" s="61">
        <f>INT(U150*F344)</f>
        <v>0</v>
      </c>
      <c r="W150" s="62">
        <v>2769</v>
      </c>
      <c r="X150" s="61">
        <f>INT(W150*F344)</f>
        <v>2835</v>
      </c>
      <c r="Y150" s="62">
        <v>0</v>
      </c>
      <c r="Z150" s="62">
        <v>0</v>
      </c>
      <c r="AA150" s="62">
        <v>0</v>
      </c>
      <c r="AB150" s="62">
        <v>0</v>
      </c>
      <c r="AC150" s="62">
        <v>0</v>
      </c>
      <c r="AD150" s="62">
        <v>0</v>
      </c>
      <c r="AE150" s="62">
        <v>0</v>
      </c>
      <c r="AF150" s="62">
        <v>0</v>
      </c>
      <c r="AG150" s="62">
        <v>1</v>
      </c>
      <c r="AH150" s="62">
        <v>0</v>
      </c>
      <c r="AI150" s="62">
        <v>0</v>
      </c>
      <c r="AJ150" s="62"/>
      <c r="AK150" s="62"/>
      <c r="AL150" s="62"/>
      <c r="AM150" s="62"/>
      <c r="AN150" s="62"/>
      <c r="AO150" s="62"/>
      <c r="AP150" s="62" t="s">
        <v>512</v>
      </c>
      <c r="AQ150" s="62">
        <v>3</v>
      </c>
      <c r="AR150" s="62" t="s">
        <v>473</v>
      </c>
      <c r="AS150" s="62">
        <v>1</v>
      </c>
      <c r="AT150" s="62" t="s">
        <v>450</v>
      </c>
      <c r="AU150" s="62" t="s">
        <v>450</v>
      </c>
      <c r="AV150" s="62" t="s">
        <v>450</v>
      </c>
      <c r="AW150" s="62">
        <v>0</v>
      </c>
      <c r="AX150" s="62">
        <v>0</v>
      </c>
      <c r="AY150" s="62">
        <v>0</v>
      </c>
      <c r="AZ150" s="62">
        <v>0</v>
      </c>
      <c r="BA150" s="62" t="s">
        <v>451</v>
      </c>
      <c r="BB150" s="62" t="s">
        <v>452</v>
      </c>
      <c r="BC150" s="62" t="s">
        <v>453</v>
      </c>
      <c r="BD150" s="62" t="s">
        <v>587</v>
      </c>
      <c r="BE150" s="62" t="s">
        <v>455</v>
      </c>
      <c r="BF150" s="62" t="s">
        <v>456</v>
      </c>
      <c r="BG150" s="62" t="s">
        <v>456</v>
      </c>
      <c r="BH150" s="62" t="s">
        <v>456</v>
      </c>
      <c r="BI150" s="62" t="s">
        <v>456</v>
      </c>
      <c r="BJ150" s="62" t="s">
        <v>456</v>
      </c>
      <c r="BK150" s="62" t="s">
        <v>456</v>
      </c>
      <c r="BL150" s="62" t="s">
        <v>456</v>
      </c>
      <c r="BM150" s="62">
        <v>3138</v>
      </c>
      <c r="BN150" s="62">
        <v>609</v>
      </c>
      <c r="BO150" s="62">
        <v>1185</v>
      </c>
      <c r="BP150" s="62">
        <v>3053</v>
      </c>
      <c r="BQ150" s="62">
        <v>2714</v>
      </c>
      <c r="BR150" s="62">
        <v>0</v>
      </c>
      <c r="BS150" s="62">
        <v>0</v>
      </c>
      <c r="BT150" s="62">
        <v>0</v>
      </c>
      <c r="BU150" s="62">
        <v>0</v>
      </c>
      <c r="BV150" s="62">
        <v>0</v>
      </c>
      <c r="BW150" s="62">
        <v>0</v>
      </c>
      <c r="BX150" s="62">
        <v>0</v>
      </c>
      <c r="BY150" s="62" t="s">
        <v>453</v>
      </c>
      <c r="BZ150" s="62" t="s">
        <v>452</v>
      </c>
      <c r="CA150" s="62" t="s">
        <v>456</v>
      </c>
      <c r="CB150" s="64"/>
      <c r="CC150" s="62">
        <v>2</v>
      </c>
      <c r="CD150" s="62">
        <v>2</v>
      </c>
      <c r="CE150" s="62">
        <v>0</v>
      </c>
      <c r="CF150" s="62"/>
      <c r="CG150" s="62" t="s">
        <v>449</v>
      </c>
    </row>
    <row r="151" s="53" customFormat="1" ht="13.5" spans="1:85">
      <c r="A151" s="62" t="s">
        <v>39</v>
      </c>
      <c r="B151" s="62" t="s">
        <v>716</v>
      </c>
      <c r="C151" s="62">
        <v>13550</v>
      </c>
      <c r="D151" s="62"/>
      <c r="E151" s="62" t="s">
        <v>719</v>
      </c>
      <c r="F151" s="62" t="b">
        <f>IF(COUNTIF(按提示输入属性!D14,E151)&gt;0,TRUE,FALSE)</f>
        <v>0</v>
      </c>
      <c r="G151" s="62"/>
      <c r="H151" s="62"/>
      <c r="I151" s="62"/>
      <c r="J151" s="62"/>
      <c r="K151" s="62">
        <v>0</v>
      </c>
      <c r="L151" s="62">
        <f>INT(K151*F342)</f>
        <v>0</v>
      </c>
      <c r="M151" s="62">
        <v>2054</v>
      </c>
      <c r="N151" s="62">
        <f>INT(M151*F344)</f>
        <v>2103</v>
      </c>
      <c r="O151" s="62">
        <v>2506</v>
      </c>
      <c r="P151" s="62">
        <f>INT(O151*F344)</f>
        <v>2566</v>
      </c>
      <c r="Q151" s="62">
        <v>0</v>
      </c>
      <c r="R151" s="62">
        <f>INT(Q151*F344)</f>
        <v>0</v>
      </c>
      <c r="S151" s="62">
        <v>0</v>
      </c>
      <c r="T151" s="62">
        <f>INT(S151*F344)</f>
        <v>0</v>
      </c>
      <c r="U151" s="62">
        <v>1451</v>
      </c>
      <c r="V151" s="62">
        <f>INT(U151*F344)</f>
        <v>1485</v>
      </c>
      <c r="W151" s="62">
        <v>1451</v>
      </c>
      <c r="X151" s="62">
        <f>INT(W151*F344)</f>
        <v>1485</v>
      </c>
      <c r="Y151" s="62">
        <v>0</v>
      </c>
      <c r="Z151" s="62">
        <v>0</v>
      </c>
      <c r="AA151" s="62">
        <v>0</v>
      </c>
      <c r="AB151" s="62">
        <v>0</v>
      </c>
      <c r="AC151" s="62">
        <v>0</v>
      </c>
      <c r="AD151" s="62">
        <v>0</v>
      </c>
      <c r="AE151" s="62">
        <v>0</v>
      </c>
      <c r="AF151" s="62">
        <v>1</v>
      </c>
      <c r="AG151" s="62">
        <v>0</v>
      </c>
      <c r="AH151" s="62">
        <v>0</v>
      </c>
      <c r="AI151" s="62">
        <v>0</v>
      </c>
      <c r="AJ151" s="62"/>
      <c r="AK151" s="62"/>
      <c r="AL151" s="62"/>
      <c r="AM151" s="62"/>
      <c r="AN151" s="62"/>
      <c r="AO151" s="62"/>
      <c r="AP151" s="62" t="s">
        <v>720</v>
      </c>
      <c r="AQ151" s="62">
        <v>3</v>
      </c>
      <c r="AR151" s="62" t="s">
        <v>473</v>
      </c>
      <c r="AS151" s="62">
        <v>1</v>
      </c>
      <c r="AT151" s="62" t="s">
        <v>450</v>
      </c>
      <c r="AU151" s="62" t="s">
        <v>450</v>
      </c>
      <c r="AV151" s="62" t="s">
        <v>450</v>
      </c>
      <c r="AW151" s="62">
        <v>0</v>
      </c>
      <c r="AX151" s="62">
        <v>0</v>
      </c>
      <c r="AY151" s="62">
        <v>0</v>
      </c>
      <c r="AZ151" s="62">
        <v>0</v>
      </c>
      <c r="BA151" s="62" t="s">
        <v>451</v>
      </c>
      <c r="BB151" s="62" t="s">
        <v>452</v>
      </c>
      <c r="BC151" s="62" t="s">
        <v>453</v>
      </c>
      <c r="BD151" s="62" t="s">
        <v>587</v>
      </c>
      <c r="BE151" s="62" t="s">
        <v>462</v>
      </c>
      <c r="BF151" s="62" t="s">
        <v>456</v>
      </c>
      <c r="BG151" s="62" t="s">
        <v>456</v>
      </c>
      <c r="BH151" s="62" t="s">
        <v>456</v>
      </c>
      <c r="BI151" s="62" t="s">
        <v>456</v>
      </c>
      <c r="BJ151" s="62" t="s">
        <v>456</v>
      </c>
      <c r="BK151" s="62" t="s">
        <v>456</v>
      </c>
      <c r="BL151" s="62" t="s">
        <v>456</v>
      </c>
      <c r="BM151" s="62">
        <v>4483</v>
      </c>
      <c r="BN151" s="62">
        <v>869</v>
      </c>
      <c r="BO151" s="62">
        <v>1692</v>
      </c>
      <c r="BP151" s="62">
        <v>4362</v>
      </c>
      <c r="BQ151" s="62">
        <v>3877</v>
      </c>
      <c r="BR151" s="62">
        <v>0</v>
      </c>
      <c r="BS151" s="62">
        <v>0</v>
      </c>
      <c r="BT151" s="62">
        <v>0</v>
      </c>
      <c r="BU151" s="62">
        <v>0</v>
      </c>
      <c r="BV151" s="62">
        <v>0</v>
      </c>
      <c r="BW151" s="62">
        <v>0</v>
      </c>
      <c r="BX151" s="62">
        <v>0</v>
      </c>
      <c r="BY151" s="62" t="s">
        <v>455</v>
      </c>
      <c r="BZ151" s="62" t="s">
        <v>461</v>
      </c>
      <c r="CA151" s="62" t="s">
        <v>456</v>
      </c>
      <c r="CB151" s="64"/>
      <c r="CC151" s="62">
        <v>2</v>
      </c>
      <c r="CD151" s="62">
        <v>2</v>
      </c>
      <c r="CE151" s="62">
        <v>0</v>
      </c>
      <c r="CF151" s="62"/>
      <c r="CG151" s="62" t="s">
        <v>449</v>
      </c>
    </row>
    <row r="152" s="52" customFormat="1" ht="13.5" spans="1:85">
      <c r="A152" s="61" t="s">
        <v>39</v>
      </c>
      <c r="B152" s="61" t="s">
        <v>711</v>
      </c>
      <c r="C152" s="61">
        <v>13300</v>
      </c>
      <c r="D152" s="61"/>
      <c r="E152" s="61" t="s">
        <v>721</v>
      </c>
      <c r="F152" s="61" t="b">
        <f>IF(COUNTIF(按提示输入属性!D14,E152)&gt;0,TRUE,FALSE)</f>
        <v>0</v>
      </c>
      <c r="G152" s="61"/>
      <c r="H152" s="61"/>
      <c r="I152" s="61"/>
      <c r="J152" s="61"/>
      <c r="K152" s="61">
        <v>464</v>
      </c>
      <c r="L152" s="61">
        <f>INT(K152*F342)</f>
        <v>498</v>
      </c>
      <c r="M152" s="61">
        <v>904</v>
      </c>
      <c r="N152" s="61">
        <f>INT(M152*F342)</f>
        <v>972</v>
      </c>
      <c r="O152" s="61">
        <v>0</v>
      </c>
      <c r="P152" s="61">
        <v>0</v>
      </c>
      <c r="Q152" s="61">
        <v>0</v>
      </c>
      <c r="R152" s="61">
        <v>0</v>
      </c>
      <c r="S152" s="61">
        <v>2330</v>
      </c>
      <c r="T152" s="61">
        <f>INT(S152*F342)</f>
        <v>2505</v>
      </c>
      <c r="U152" s="61">
        <v>2071</v>
      </c>
      <c r="V152" s="61">
        <f>INT(U152*F342)</f>
        <v>2226</v>
      </c>
      <c r="W152" s="61">
        <v>0</v>
      </c>
      <c r="X152" s="61">
        <f>INT(W152*F344)</f>
        <v>0</v>
      </c>
      <c r="Y152" s="61">
        <v>0</v>
      </c>
      <c r="Z152" s="61">
        <v>0</v>
      </c>
      <c r="AA152" s="61">
        <v>0</v>
      </c>
      <c r="AB152" s="61">
        <v>0</v>
      </c>
      <c r="AC152" s="61">
        <v>1</v>
      </c>
      <c r="AD152" s="61">
        <v>0</v>
      </c>
      <c r="AE152" s="61">
        <v>0</v>
      </c>
      <c r="AF152" s="61">
        <v>0</v>
      </c>
      <c r="AG152" s="61">
        <v>0</v>
      </c>
      <c r="AH152" s="61">
        <v>0</v>
      </c>
      <c r="AI152" s="61">
        <v>0</v>
      </c>
      <c r="AJ152" s="61"/>
      <c r="AK152" s="61"/>
      <c r="AL152" s="61"/>
      <c r="AM152" s="61"/>
      <c r="AN152" s="61"/>
      <c r="AO152" s="61"/>
      <c r="AP152" s="61" t="s">
        <v>465</v>
      </c>
      <c r="AQ152" s="61">
        <v>6</v>
      </c>
      <c r="AR152" s="61" t="s">
        <v>458</v>
      </c>
      <c r="AS152" s="61">
        <v>1</v>
      </c>
      <c r="AT152" s="61" t="s">
        <v>450</v>
      </c>
      <c r="AU152" s="61" t="s">
        <v>450</v>
      </c>
      <c r="AV152" s="61" t="s">
        <v>450</v>
      </c>
      <c r="AW152" s="61">
        <v>2395</v>
      </c>
      <c r="AX152" s="61">
        <v>0</v>
      </c>
      <c r="AY152" s="61">
        <v>0</v>
      </c>
      <c r="AZ152" s="61">
        <v>0</v>
      </c>
      <c r="BA152" s="61" t="s">
        <v>451</v>
      </c>
      <c r="BB152" s="61" t="s">
        <v>452</v>
      </c>
      <c r="BC152" s="61" t="s">
        <v>453</v>
      </c>
      <c r="BD152" s="61" t="s">
        <v>461</v>
      </c>
      <c r="BE152" s="61" t="s">
        <v>462</v>
      </c>
      <c r="BF152" s="61" t="s">
        <v>456</v>
      </c>
      <c r="BG152" s="61" t="s">
        <v>456</v>
      </c>
      <c r="BH152" s="61" t="s">
        <v>456</v>
      </c>
      <c r="BI152" s="61" t="s">
        <v>456</v>
      </c>
      <c r="BJ152" s="61" t="s">
        <v>456</v>
      </c>
      <c r="BK152" s="61" t="s">
        <v>456</v>
      </c>
      <c r="BL152" s="61" t="s">
        <v>456</v>
      </c>
      <c r="BM152" s="61">
        <v>4035</v>
      </c>
      <c r="BN152" s="61">
        <v>782</v>
      </c>
      <c r="BO152" s="61">
        <v>1523</v>
      </c>
      <c r="BP152" s="61">
        <v>3926</v>
      </c>
      <c r="BQ152" s="61">
        <v>3490</v>
      </c>
      <c r="BR152" s="61">
        <v>0</v>
      </c>
      <c r="BS152" s="61">
        <v>0</v>
      </c>
      <c r="BT152" s="61">
        <v>0</v>
      </c>
      <c r="BU152" s="61">
        <v>0</v>
      </c>
      <c r="BV152" s="61">
        <v>0</v>
      </c>
      <c r="BW152" s="61">
        <v>0</v>
      </c>
      <c r="BX152" s="61">
        <v>0</v>
      </c>
      <c r="BY152" s="61" t="s">
        <v>454</v>
      </c>
      <c r="BZ152" s="61" t="s">
        <v>462</v>
      </c>
      <c r="CA152" s="61" t="s">
        <v>456</v>
      </c>
      <c r="CB152" s="66"/>
      <c r="CC152" s="61">
        <v>2</v>
      </c>
      <c r="CD152" s="61">
        <v>2</v>
      </c>
      <c r="CE152" s="61">
        <v>0</v>
      </c>
      <c r="CF152" s="61"/>
      <c r="CG152" s="61" t="s">
        <v>449</v>
      </c>
    </row>
    <row r="153" s="53" customFormat="1" ht="13.5" spans="1:85">
      <c r="A153" s="62" t="s">
        <v>39</v>
      </c>
      <c r="B153" s="62" t="s">
        <v>716</v>
      </c>
      <c r="C153" s="62">
        <v>12800</v>
      </c>
      <c r="D153" s="62"/>
      <c r="E153" s="62" t="s">
        <v>722</v>
      </c>
      <c r="F153" s="62" t="b">
        <f>IF(COUNTIF(按提示输入属性!D14,E153)&gt;0,TRUE,FALSE)</f>
        <v>0</v>
      </c>
      <c r="G153" s="62"/>
      <c r="H153" s="62"/>
      <c r="I153" s="62"/>
      <c r="J153" s="62"/>
      <c r="K153" s="62">
        <v>0</v>
      </c>
      <c r="L153" s="62">
        <f>INT(K153*F342)</f>
        <v>0</v>
      </c>
      <c r="M153" s="62">
        <v>2275</v>
      </c>
      <c r="N153" s="62">
        <f>INT(M153*F344)</f>
        <v>2329</v>
      </c>
      <c r="O153" s="62">
        <v>0</v>
      </c>
      <c r="P153" s="61">
        <f>INT(O153*F344)</f>
        <v>0</v>
      </c>
      <c r="Q153" s="62">
        <v>0</v>
      </c>
      <c r="R153" s="61">
        <f>INT(Q153*F344)</f>
        <v>0</v>
      </c>
      <c r="S153" s="62">
        <v>4422</v>
      </c>
      <c r="T153" s="61">
        <f>INT(S153*F344)</f>
        <v>4528</v>
      </c>
      <c r="U153" s="62">
        <v>0</v>
      </c>
      <c r="V153" s="61">
        <f>INT(U153*F344)</f>
        <v>0</v>
      </c>
      <c r="W153" s="62">
        <v>0</v>
      </c>
      <c r="X153" s="61">
        <f>INT(W153*F344)</f>
        <v>0</v>
      </c>
      <c r="Y153" s="62">
        <v>0</v>
      </c>
      <c r="Z153" s="62">
        <v>0</v>
      </c>
      <c r="AA153" s="62">
        <v>0</v>
      </c>
      <c r="AB153" s="62">
        <v>0</v>
      </c>
      <c r="AC153" s="62">
        <v>0</v>
      </c>
      <c r="AD153" s="62">
        <v>0</v>
      </c>
      <c r="AE153" s="62">
        <v>0</v>
      </c>
      <c r="AF153" s="62">
        <v>0</v>
      </c>
      <c r="AG153" s="62">
        <v>1</v>
      </c>
      <c r="AH153" s="62">
        <v>0</v>
      </c>
      <c r="AI153" s="62">
        <v>0</v>
      </c>
      <c r="AJ153" s="62"/>
      <c r="AK153" s="62"/>
      <c r="AL153" s="62"/>
      <c r="AM153" s="62"/>
      <c r="AN153" s="62"/>
      <c r="AO153" s="62"/>
      <c r="AP153" s="62" t="s">
        <v>479</v>
      </c>
      <c r="AQ153" s="62">
        <v>3</v>
      </c>
      <c r="AR153" s="62" t="s">
        <v>473</v>
      </c>
      <c r="AS153" s="62">
        <v>1</v>
      </c>
      <c r="AT153" s="62" t="s">
        <v>450</v>
      </c>
      <c r="AU153" s="62" t="s">
        <v>450</v>
      </c>
      <c r="AV153" s="62" t="s">
        <v>450</v>
      </c>
      <c r="AW153" s="62">
        <v>0</v>
      </c>
      <c r="AX153" s="62">
        <v>0</v>
      </c>
      <c r="AY153" s="62">
        <v>0</v>
      </c>
      <c r="AZ153" s="62">
        <v>0</v>
      </c>
      <c r="BA153" s="62" t="s">
        <v>451</v>
      </c>
      <c r="BB153" s="62" t="s">
        <v>452</v>
      </c>
      <c r="BC153" s="62" t="s">
        <v>453</v>
      </c>
      <c r="BD153" s="62" t="s">
        <v>454</v>
      </c>
      <c r="BE153" s="62" t="s">
        <v>455</v>
      </c>
      <c r="BF153" s="62" t="s">
        <v>456</v>
      </c>
      <c r="BG153" s="62" t="s">
        <v>456</v>
      </c>
      <c r="BH153" s="62" t="s">
        <v>456</v>
      </c>
      <c r="BI153" s="62" t="s">
        <v>456</v>
      </c>
      <c r="BJ153" s="62" t="s">
        <v>456</v>
      </c>
      <c r="BK153" s="62" t="s">
        <v>456</v>
      </c>
      <c r="BL153" s="62" t="s">
        <v>456</v>
      </c>
      <c r="BM153" s="62">
        <v>4483</v>
      </c>
      <c r="BN153" s="62">
        <v>869</v>
      </c>
      <c r="BO153" s="62">
        <v>1692</v>
      </c>
      <c r="BP153" s="62">
        <v>4362</v>
      </c>
      <c r="BQ153" s="62">
        <v>3877</v>
      </c>
      <c r="BR153" s="62">
        <v>0</v>
      </c>
      <c r="BS153" s="62">
        <v>0</v>
      </c>
      <c r="BT153" s="62">
        <v>0</v>
      </c>
      <c r="BU153" s="62">
        <v>0</v>
      </c>
      <c r="BV153" s="62">
        <v>0</v>
      </c>
      <c r="BW153" s="62">
        <v>0</v>
      </c>
      <c r="BX153" s="62">
        <v>0</v>
      </c>
      <c r="BY153" s="62" t="s">
        <v>452</v>
      </c>
      <c r="BZ153" s="62" t="s">
        <v>461</v>
      </c>
      <c r="CA153" s="62" t="s">
        <v>456</v>
      </c>
      <c r="CB153" s="64"/>
      <c r="CC153" s="62">
        <v>2</v>
      </c>
      <c r="CD153" s="62">
        <v>2</v>
      </c>
      <c r="CE153" s="62">
        <v>0</v>
      </c>
      <c r="CF153" s="62"/>
      <c r="CG153" s="62" t="s">
        <v>449</v>
      </c>
    </row>
    <row r="154" s="53" customFormat="1" ht="13.5" spans="1:85">
      <c r="A154" s="62" t="s">
        <v>39</v>
      </c>
      <c r="B154" s="62" t="s">
        <v>716</v>
      </c>
      <c r="C154" s="62">
        <v>12800</v>
      </c>
      <c r="D154" s="62"/>
      <c r="E154" s="62" t="s">
        <v>723</v>
      </c>
      <c r="F154" s="62" t="b">
        <f>IF(COUNTIF(按提示输入属性!D14,E154)&gt;0,TRUE,FALSE)</f>
        <v>0</v>
      </c>
      <c r="G154" s="62"/>
      <c r="H154" s="62"/>
      <c r="I154" s="62"/>
      <c r="J154" s="62"/>
      <c r="K154" s="62">
        <v>0</v>
      </c>
      <c r="L154" s="62">
        <f>INT(K154*F342)</f>
        <v>0</v>
      </c>
      <c r="M154" s="62">
        <v>1941</v>
      </c>
      <c r="N154" s="62">
        <f>INT(M154*F344)</f>
        <v>1987</v>
      </c>
      <c r="O154" s="62">
        <v>2491</v>
      </c>
      <c r="P154" s="62">
        <f>INT(O154*F344)</f>
        <v>2551</v>
      </c>
      <c r="Q154" s="62">
        <v>0</v>
      </c>
      <c r="R154" s="62">
        <f>INT(Q154*F344)</f>
        <v>0</v>
      </c>
      <c r="S154" s="62">
        <v>0</v>
      </c>
      <c r="T154" s="62">
        <f>INT(S154*F344)</f>
        <v>0</v>
      </c>
      <c r="U154" s="62">
        <v>2616</v>
      </c>
      <c r="V154" s="62">
        <f>INT(U154*F344)</f>
        <v>2679</v>
      </c>
      <c r="W154" s="62">
        <v>0</v>
      </c>
      <c r="X154" s="62">
        <f>INT(W154*F344)</f>
        <v>0</v>
      </c>
      <c r="Y154" s="62">
        <v>0</v>
      </c>
      <c r="Z154" s="62">
        <v>0</v>
      </c>
      <c r="AA154" s="62">
        <v>0</v>
      </c>
      <c r="AB154" s="62">
        <v>0</v>
      </c>
      <c r="AC154" s="62">
        <v>0</v>
      </c>
      <c r="AD154" s="62">
        <v>0</v>
      </c>
      <c r="AE154" s="62">
        <v>1</v>
      </c>
      <c r="AF154" s="62">
        <v>0</v>
      </c>
      <c r="AG154" s="62">
        <v>0</v>
      </c>
      <c r="AH154" s="62">
        <v>0</v>
      </c>
      <c r="AI154" s="62">
        <v>0</v>
      </c>
      <c r="AJ154" s="62"/>
      <c r="AK154" s="62"/>
      <c r="AL154" s="62"/>
      <c r="AM154" s="62"/>
      <c r="AN154" s="62"/>
      <c r="AO154" s="62"/>
      <c r="AP154" s="62" t="s">
        <v>609</v>
      </c>
      <c r="AQ154" s="62">
        <v>3</v>
      </c>
      <c r="AR154" s="62" t="s">
        <v>473</v>
      </c>
      <c r="AS154" s="62">
        <v>1</v>
      </c>
      <c r="AT154" s="62" t="s">
        <v>450</v>
      </c>
      <c r="AU154" s="62" t="s">
        <v>450</v>
      </c>
      <c r="AV154" s="62" t="s">
        <v>450</v>
      </c>
      <c r="AW154" s="62">
        <v>0</v>
      </c>
      <c r="AX154" s="62">
        <v>0</v>
      </c>
      <c r="AY154" s="62">
        <v>0</v>
      </c>
      <c r="AZ154" s="62">
        <v>0</v>
      </c>
      <c r="BA154" s="62" t="s">
        <v>451</v>
      </c>
      <c r="BB154" s="62" t="s">
        <v>452</v>
      </c>
      <c r="BC154" s="62" t="s">
        <v>453</v>
      </c>
      <c r="BD154" s="62" t="s">
        <v>454</v>
      </c>
      <c r="BE154" s="62" t="s">
        <v>462</v>
      </c>
      <c r="BF154" s="62" t="s">
        <v>456</v>
      </c>
      <c r="BG154" s="62" t="s">
        <v>456</v>
      </c>
      <c r="BH154" s="62" t="s">
        <v>456</v>
      </c>
      <c r="BI154" s="62" t="s">
        <v>456</v>
      </c>
      <c r="BJ154" s="62" t="s">
        <v>456</v>
      </c>
      <c r="BK154" s="62" t="s">
        <v>456</v>
      </c>
      <c r="BL154" s="62" t="s">
        <v>456</v>
      </c>
      <c r="BM154" s="62">
        <v>3138</v>
      </c>
      <c r="BN154" s="62">
        <v>609</v>
      </c>
      <c r="BO154" s="62">
        <v>1185</v>
      </c>
      <c r="BP154" s="62">
        <v>3053</v>
      </c>
      <c r="BQ154" s="62">
        <v>2714</v>
      </c>
      <c r="BR154" s="62">
        <v>0</v>
      </c>
      <c r="BS154" s="62">
        <v>0</v>
      </c>
      <c r="BT154" s="62">
        <v>0</v>
      </c>
      <c r="BU154" s="62">
        <v>0</v>
      </c>
      <c r="BV154" s="62">
        <v>0</v>
      </c>
      <c r="BW154" s="62">
        <v>0</v>
      </c>
      <c r="BX154" s="62">
        <v>0</v>
      </c>
      <c r="BY154" s="62" t="s">
        <v>462</v>
      </c>
      <c r="BZ154" s="62" t="s">
        <v>452</v>
      </c>
      <c r="CA154" s="62" t="s">
        <v>456</v>
      </c>
      <c r="CB154" s="64"/>
      <c r="CC154" s="62">
        <v>2</v>
      </c>
      <c r="CD154" s="62">
        <v>2</v>
      </c>
      <c r="CE154" s="62">
        <v>0</v>
      </c>
      <c r="CF154" s="62"/>
      <c r="CG154" s="62" t="s">
        <v>449</v>
      </c>
    </row>
    <row r="155" s="53" customFormat="1" ht="13.5" spans="1:85">
      <c r="A155" s="62" t="s">
        <v>39</v>
      </c>
      <c r="B155" s="62" t="s">
        <v>716</v>
      </c>
      <c r="C155" s="62">
        <v>12800</v>
      </c>
      <c r="D155" s="62"/>
      <c r="E155" s="62" t="s">
        <v>724</v>
      </c>
      <c r="F155" s="62" t="b">
        <f>IF(COUNTIF(按提示输入属性!D14,E155)&gt;0,TRUE,FALSE)</f>
        <v>0</v>
      </c>
      <c r="G155" s="62"/>
      <c r="H155" s="62"/>
      <c r="I155" s="62"/>
      <c r="J155" s="62"/>
      <c r="K155" s="62">
        <v>0</v>
      </c>
      <c r="L155" s="62">
        <f>INT(K155*F342)</f>
        <v>0</v>
      </c>
      <c r="M155" s="62">
        <v>1941</v>
      </c>
      <c r="N155" s="62">
        <f>INT(M155*F344)</f>
        <v>1987</v>
      </c>
      <c r="O155" s="62">
        <v>0</v>
      </c>
      <c r="P155" s="61">
        <f>INT(O155*F344)</f>
        <v>0</v>
      </c>
      <c r="Q155" s="62">
        <v>0</v>
      </c>
      <c r="R155" s="61">
        <f>INT(Q155*F344)</f>
        <v>0</v>
      </c>
      <c r="S155" s="62">
        <v>2118</v>
      </c>
      <c r="T155" s="61">
        <f>INT(S155*F344)</f>
        <v>2169</v>
      </c>
      <c r="U155" s="62">
        <v>1744</v>
      </c>
      <c r="V155" s="61">
        <f>INT(U155*F344)</f>
        <v>1786</v>
      </c>
      <c r="W155" s="62">
        <v>1246</v>
      </c>
      <c r="X155" s="61">
        <f>INT(W155*F344)</f>
        <v>1276</v>
      </c>
      <c r="Y155" s="62">
        <v>0</v>
      </c>
      <c r="Z155" s="62">
        <v>0</v>
      </c>
      <c r="AA155" s="62">
        <v>0</v>
      </c>
      <c r="AB155" s="62">
        <v>0</v>
      </c>
      <c r="AC155" s="62">
        <v>0</v>
      </c>
      <c r="AD155" s="62">
        <v>1</v>
      </c>
      <c r="AE155" s="62">
        <v>0</v>
      </c>
      <c r="AF155" s="62">
        <v>0</v>
      </c>
      <c r="AG155" s="62">
        <v>0</v>
      </c>
      <c r="AH155" s="62">
        <v>0</v>
      </c>
      <c r="AI155" s="62">
        <v>0</v>
      </c>
      <c r="AJ155" s="62"/>
      <c r="AK155" s="62"/>
      <c r="AL155" s="62"/>
      <c r="AM155" s="62"/>
      <c r="AN155" s="62"/>
      <c r="AO155" s="62"/>
      <c r="AP155" s="62" t="s">
        <v>611</v>
      </c>
      <c r="AQ155" s="62">
        <v>3</v>
      </c>
      <c r="AR155" s="62" t="s">
        <v>473</v>
      </c>
      <c r="AS155" s="62">
        <v>1</v>
      </c>
      <c r="AT155" s="62" t="s">
        <v>450</v>
      </c>
      <c r="AU155" s="62" t="s">
        <v>450</v>
      </c>
      <c r="AV155" s="62" t="s">
        <v>450</v>
      </c>
      <c r="AW155" s="62">
        <v>0</v>
      </c>
      <c r="AX155" s="62">
        <v>0</v>
      </c>
      <c r="AY155" s="62">
        <v>0</v>
      </c>
      <c r="AZ155" s="62">
        <v>0</v>
      </c>
      <c r="BA155" s="62" t="s">
        <v>451</v>
      </c>
      <c r="BB155" s="62" t="s">
        <v>452</v>
      </c>
      <c r="BC155" s="62" t="s">
        <v>453</v>
      </c>
      <c r="BD155" s="62" t="s">
        <v>587</v>
      </c>
      <c r="BE155" s="62" t="s">
        <v>455</v>
      </c>
      <c r="BF155" s="62" t="s">
        <v>456</v>
      </c>
      <c r="BG155" s="62" t="s">
        <v>456</v>
      </c>
      <c r="BH155" s="62" t="s">
        <v>456</v>
      </c>
      <c r="BI155" s="62" t="s">
        <v>456</v>
      </c>
      <c r="BJ155" s="62" t="s">
        <v>456</v>
      </c>
      <c r="BK155" s="62" t="s">
        <v>456</v>
      </c>
      <c r="BL155" s="62" t="s">
        <v>456</v>
      </c>
      <c r="BM155" s="62">
        <v>3138</v>
      </c>
      <c r="BN155" s="62">
        <v>609</v>
      </c>
      <c r="BO155" s="62">
        <v>1185</v>
      </c>
      <c r="BP155" s="62">
        <v>3053</v>
      </c>
      <c r="BQ155" s="62">
        <v>2714</v>
      </c>
      <c r="BR155" s="62">
        <v>0</v>
      </c>
      <c r="BS155" s="62">
        <v>0</v>
      </c>
      <c r="BT155" s="62">
        <v>0</v>
      </c>
      <c r="BU155" s="62">
        <v>0</v>
      </c>
      <c r="BV155" s="62">
        <v>0</v>
      </c>
      <c r="BW155" s="62">
        <v>0</v>
      </c>
      <c r="BX155" s="62">
        <v>0</v>
      </c>
      <c r="BY155" s="62" t="s">
        <v>461</v>
      </c>
      <c r="BZ155" s="62" t="s">
        <v>453</v>
      </c>
      <c r="CA155" s="62" t="s">
        <v>456</v>
      </c>
      <c r="CB155" s="64"/>
      <c r="CC155" s="62">
        <v>2</v>
      </c>
      <c r="CD155" s="62">
        <v>2</v>
      </c>
      <c r="CE155" s="62">
        <v>0</v>
      </c>
      <c r="CF155" s="62"/>
      <c r="CG155" s="62" t="s">
        <v>449</v>
      </c>
    </row>
    <row r="156" s="52" customFormat="1" ht="13.5" spans="1:85">
      <c r="A156" s="61" t="s">
        <v>39</v>
      </c>
      <c r="B156" s="61" t="s">
        <v>725</v>
      </c>
      <c r="C156" s="61">
        <v>12600</v>
      </c>
      <c r="D156" s="61"/>
      <c r="E156" s="61" t="s">
        <v>726</v>
      </c>
      <c r="F156" s="61" t="b">
        <f>IF(COUNTIF(按提示输入属性!D14,E156)&gt;0,TRUE,FALSE)</f>
        <v>0</v>
      </c>
      <c r="G156" s="61"/>
      <c r="H156" s="61"/>
      <c r="I156" s="61"/>
      <c r="J156" s="61"/>
      <c r="K156" s="61">
        <v>440</v>
      </c>
      <c r="L156" s="61">
        <f>INT(K156*F342)</f>
        <v>473</v>
      </c>
      <c r="M156" s="61">
        <v>856</v>
      </c>
      <c r="N156" s="61">
        <f>INT(M156*F342)</f>
        <v>920</v>
      </c>
      <c r="O156" s="61">
        <v>0</v>
      </c>
      <c r="P156" s="61">
        <f>INT(O156*F342)</f>
        <v>0</v>
      </c>
      <c r="Q156" s="61">
        <v>0</v>
      </c>
      <c r="R156" s="61">
        <f>INT(Q156*F342)</f>
        <v>0</v>
      </c>
      <c r="S156" s="61">
        <v>2207</v>
      </c>
      <c r="T156" s="61">
        <f>INT(S156*F342)</f>
        <v>2373</v>
      </c>
      <c r="U156" s="61">
        <v>1962</v>
      </c>
      <c r="V156" s="61">
        <f>INT(U156*F342)</f>
        <v>2109</v>
      </c>
      <c r="W156" s="61">
        <v>0</v>
      </c>
      <c r="X156" s="61">
        <f>INT(W156*F342)</f>
        <v>0</v>
      </c>
      <c r="Y156" s="61">
        <v>0</v>
      </c>
      <c r="Z156" s="61">
        <v>0</v>
      </c>
      <c r="AA156" s="61">
        <v>0</v>
      </c>
      <c r="AB156" s="61">
        <v>0</v>
      </c>
      <c r="AC156" s="61">
        <v>1</v>
      </c>
      <c r="AD156" s="61">
        <v>0</v>
      </c>
      <c r="AE156" s="61">
        <v>0</v>
      </c>
      <c r="AF156" s="61">
        <v>0</v>
      </c>
      <c r="AG156" s="61">
        <v>0</v>
      </c>
      <c r="AH156" s="61">
        <v>0</v>
      </c>
      <c r="AI156" s="61">
        <v>0</v>
      </c>
      <c r="AJ156" s="61"/>
      <c r="AK156" s="61"/>
      <c r="AL156" s="61"/>
      <c r="AM156" s="61"/>
      <c r="AN156" s="61"/>
      <c r="AO156" s="61"/>
      <c r="AP156" s="61" t="s">
        <v>465</v>
      </c>
      <c r="AQ156" s="61">
        <v>6</v>
      </c>
      <c r="AR156" s="61" t="s">
        <v>458</v>
      </c>
      <c r="AS156" s="61">
        <v>1</v>
      </c>
      <c r="AT156" s="61" t="s">
        <v>450</v>
      </c>
      <c r="AU156" s="61" t="s">
        <v>450</v>
      </c>
      <c r="AV156" s="61" t="s">
        <v>450</v>
      </c>
      <c r="AW156" s="61">
        <v>2269</v>
      </c>
      <c r="AX156" s="61">
        <v>0</v>
      </c>
      <c r="AY156" s="61">
        <v>0</v>
      </c>
      <c r="AZ156" s="61">
        <v>0</v>
      </c>
      <c r="BA156" s="61" t="s">
        <v>451</v>
      </c>
      <c r="BB156" s="61" t="s">
        <v>452</v>
      </c>
      <c r="BC156" s="61" t="s">
        <v>453</v>
      </c>
      <c r="BD156" s="61" t="s">
        <v>461</v>
      </c>
      <c r="BE156" s="61" t="s">
        <v>462</v>
      </c>
      <c r="BF156" s="61" t="s">
        <v>456</v>
      </c>
      <c r="BG156" s="61" t="s">
        <v>456</v>
      </c>
      <c r="BH156" s="61" t="s">
        <v>456</v>
      </c>
      <c r="BI156" s="61" t="s">
        <v>456</v>
      </c>
      <c r="BJ156" s="61" t="s">
        <v>456</v>
      </c>
      <c r="BK156" s="61" t="s">
        <v>456</v>
      </c>
      <c r="BL156" s="61" t="s">
        <v>456</v>
      </c>
      <c r="BM156" s="61">
        <v>3138</v>
      </c>
      <c r="BN156" s="61">
        <v>609</v>
      </c>
      <c r="BO156" s="61">
        <v>1185</v>
      </c>
      <c r="BP156" s="61">
        <v>3053</v>
      </c>
      <c r="BQ156" s="61">
        <v>2714</v>
      </c>
      <c r="BR156" s="61">
        <v>0</v>
      </c>
      <c r="BS156" s="61">
        <v>0</v>
      </c>
      <c r="BT156" s="61">
        <v>0</v>
      </c>
      <c r="BU156" s="61">
        <v>0</v>
      </c>
      <c r="BV156" s="61">
        <v>0</v>
      </c>
      <c r="BW156" s="61">
        <v>0</v>
      </c>
      <c r="BX156" s="61">
        <v>0</v>
      </c>
      <c r="BY156" s="61" t="s">
        <v>452</v>
      </c>
      <c r="BZ156" s="61" t="s">
        <v>462</v>
      </c>
      <c r="CA156" s="61" t="s">
        <v>456</v>
      </c>
      <c r="CB156" s="66"/>
      <c r="CC156" s="61">
        <v>2</v>
      </c>
      <c r="CD156" s="61">
        <v>2</v>
      </c>
      <c r="CE156" s="61">
        <v>0</v>
      </c>
      <c r="CF156" s="61"/>
      <c r="CG156" s="61" t="s">
        <v>449</v>
      </c>
    </row>
    <row r="157" s="52" customFormat="1" ht="13.5" spans="1:85">
      <c r="A157" s="61" t="s">
        <v>39</v>
      </c>
      <c r="B157" s="61" t="s">
        <v>727</v>
      </c>
      <c r="C157" s="61">
        <v>12450</v>
      </c>
      <c r="D157" s="61"/>
      <c r="E157" s="61" t="s">
        <v>728</v>
      </c>
      <c r="F157" s="61" t="b">
        <f>IF(COUNTIF(按提示输入属性!D14,E157)&gt;0,TRUE,FALSE)</f>
        <v>0</v>
      </c>
      <c r="G157" s="61"/>
      <c r="H157" s="61"/>
      <c r="I157" s="61"/>
      <c r="J157" s="61"/>
      <c r="K157" s="61">
        <v>435</v>
      </c>
      <c r="L157" s="61">
        <f>INT(K157*F342)</f>
        <v>467</v>
      </c>
      <c r="M157" s="61">
        <v>846</v>
      </c>
      <c r="N157" s="61">
        <f>INT(M157*F342)</f>
        <v>909</v>
      </c>
      <c r="O157" s="61">
        <v>0</v>
      </c>
      <c r="P157" s="61">
        <f>INT(O157*F342)</f>
        <v>0</v>
      </c>
      <c r="Q157" s="61">
        <v>0</v>
      </c>
      <c r="R157" s="61">
        <f>INT(Q157*F342)</f>
        <v>0</v>
      </c>
      <c r="S157" s="61">
        <v>2181</v>
      </c>
      <c r="T157" s="61">
        <f>INT(S157*F342)</f>
        <v>2345</v>
      </c>
      <c r="U157" s="61">
        <v>0</v>
      </c>
      <c r="V157" s="61">
        <f>INT(U157*F342)</f>
        <v>0</v>
      </c>
      <c r="W157" s="61">
        <v>1939</v>
      </c>
      <c r="X157" s="61">
        <f>INT(W157*F342)</f>
        <v>2084</v>
      </c>
      <c r="Y157" s="61">
        <v>0</v>
      </c>
      <c r="Z157" s="61">
        <v>0</v>
      </c>
      <c r="AA157" s="61">
        <v>0</v>
      </c>
      <c r="AB157" s="61">
        <v>0</v>
      </c>
      <c r="AC157" s="61">
        <v>0</v>
      </c>
      <c r="AD157" s="61">
        <v>0</v>
      </c>
      <c r="AE157" s="61">
        <v>0</v>
      </c>
      <c r="AF157" s="61">
        <v>0</v>
      </c>
      <c r="AG157" s="61">
        <v>0</v>
      </c>
      <c r="AH157" s="61">
        <v>1</v>
      </c>
      <c r="AI157" s="61">
        <v>0</v>
      </c>
      <c r="AJ157" s="61"/>
      <c r="AK157" s="61"/>
      <c r="AL157" s="61"/>
      <c r="AM157" s="61"/>
      <c r="AN157" s="61"/>
      <c r="AO157" s="61"/>
      <c r="AP157" s="61" t="s">
        <v>486</v>
      </c>
      <c r="AQ157" s="61">
        <v>6</v>
      </c>
      <c r="AR157" s="61" t="s">
        <v>449</v>
      </c>
      <c r="AS157" s="61">
        <v>1</v>
      </c>
      <c r="AT157" s="61" t="s">
        <v>450</v>
      </c>
      <c r="AU157" s="61" t="s">
        <v>450</v>
      </c>
      <c r="AV157" s="61" t="s">
        <v>450</v>
      </c>
      <c r="AW157" s="61">
        <v>2242</v>
      </c>
      <c r="AX157" s="61">
        <v>0</v>
      </c>
      <c r="AY157" s="61">
        <v>0</v>
      </c>
      <c r="AZ157" s="61">
        <v>0</v>
      </c>
      <c r="BA157" s="61" t="s">
        <v>451</v>
      </c>
      <c r="BB157" s="61" t="s">
        <v>452</v>
      </c>
      <c r="BC157" s="61" t="s">
        <v>453</v>
      </c>
      <c r="BD157" s="61" t="s">
        <v>454</v>
      </c>
      <c r="BE157" s="61" t="s">
        <v>455</v>
      </c>
      <c r="BF157" s="61" t="s">
        <v>456</v>
      </c>
      <c r="BG157" s="61" t="s">
        <v>456</v>
      </c>
      <c r="BH157" s="61" t="s">
        <v>456</v>
      </c>
      <c r="BI157" s="61" t="s">
        <v>456</v>
      </c>
      <c r="BJ157" s="61" t="s">
        <v>456</v>
      </c>
      <c r="BK157" s="61" t="s">
        <v>456</v>
      </c>
      <c r="BL157" s="61" t="s">
        <v>456</v>
      </c>
      <c r="BM157" s="61">
        <v>4483</v>
      </c>
      <c r="BN157" s="61">
        <v>869</v>
      </c>
      <c r="BO157" s="61">
        <v>1692</v>
      </c>
      <c r="BP157" s="61">
        <v>4362</v>
      </c>
      <c r="BQ157" s="61">
        <v>3877</v>
      </c>
      <c r="BR157" s="61">
        <v>0</v>
      </c>
      <c r="BS157" s="61">
        <v>0</v>
      </c>
      <c r="BT157" s="61">
        <v>0</v>
      </c>
      <c r="BU157" s="61">
        <v>0</v>
      </c>
      <c r="BV157" s="61">
        <v>0</v>
      </c>
      <c r="BW157" s="61">
        <v>0</v>
      </c>
      <c r="BX157" s="61">
        <v>0</v>
      </c>
      <c r="BY157" s="61" t="s">
        <v>454</v>
      </c>
      <c r="BZ157" s="61" t="s">
        <v>455</v>
      </c>
      <c r="CA157" s="61" t="s">
        <v>456</v>
      </c>
      <c r="CB157" s="66"/>
      <c r="CC157" s="61">
        <v>2</v>
      </c>
      <c r="CD157" s="61">
        <v>2</v>
      </c>
      <c r="CE157" s="61">
        <v>0</v>
      </c>
      <c r="CF157" s="61"/>
      <c r="CG157" s="61" t="s">
        <v>449</v>
      </c>
    </row>
    <row r="158" s="52" customFormat="1" ht="13.5" spans="1:85">
      <c r="A158" s="61" t="s">
        <v>39</v>
      </c>
      <c r="B158" s="61" t="s">
        <v>729</v>
      </c>
      <c r="C158" s="61">
        <v>12450</v>
      </c>
      <c r="D158" s="61"/>
      <c r="E158" s="61" t="s">
        <v>730</v>
      </c>
      <c r="F158" s="61" t="b">
        <f>IF(COUNTIF(按提示输入属性!D14,E158)&gt;0,TRUE,FALSE)</f>
        <v>0</v>
      </c>
      <c r="G158" s="61"/>
      <c r="H158" s="61"/>
      <c r="I158" s="61"/>
      <c r="J158" s="61"/>
      <c r="K158" s="61">
        <v>435</v>
      </c>
      <c r="L158" s="61">
        <f>INT(K158*F342)</f>
        <v>467</v>
      </c>
      <c r="M158" s="61">
        <v>846</v>
      </c>
      <c r="N158" s="61">
        <f>INT(M158*F342)</f>
        <v>909</v>
      </c>
      <c r="O158" s="61">
        <v>2181</v>
      </c>
      <c r="P158" s="61">
        <f>INT(O158*F342)</f>
        <v>2345</v>
      </c>
      <c r="Q158" s="61">
        <v>0</v>
      </c>
      <c r="R158" s="61">
        <f>INT(Q158*F342)</f>
        <v>0</v>
      </c>
      <c r="S158" s="61">
        <v>0</v>
      </c>
      <c r="T158" s="61">
        <f>INT(S158*F342)</f>
        <v>0</v>
      </c>
      <c r="U158" s="61">
        <v>0</v>
      </c>
      <c r="V158" s="61">
        <f>INT(U158*F342)</f>
        <v>0</v>
      </c>
      <c r="W158" s="61">
        <v>1939</v>
      </c>
      <c r="X158" s="61">
        <f>INT(W158*F342)</f>
        <v>2084</v>
      </c>
      <c r="Y158" s="61">
        <v>0</v>
      </c>
      <c r="Z158" s="61">
        <v>0</v>
      </c>
      <c r="AA158" s="61">
        <v>0</v>
      </c>
      <c r="AB158" s="61">
        <v>0</v>
      </c>
      <c r="AC158" s="61">
        <v>0</v>
      </c>
      <c r="AD158" s="61">
        <v>0</v>
      </c>
      <c r="AE158" s="61">
        <v>0</v>
      </c>
      <c r="AF158" s="61">
        <v>1</v>
      </c>
      <c r="AG158" s="61">
        <v>0</v>
      </c>
      <c r="AH158" s="61">
        <v>0</v>
      </c>
      <c r="AI158" s="61">
        <v>0</v>
      </c>
      <c r="AJ158" s="61"/>
      <c r="AK158" s="61"/>
      <c r="AL158" s="61"/>
      <c r="AM158" s="61"/>
      <c r="AN158" s="61"/>
      <c r="AO158" s="61"/>
      <c r="AP158" s="61" t="s">
        <v>460</v>
      </c>
      <c r="AQ158" s="61">
        <v>6</v>
      </c>
      <c r="AR158" s="61" t="s">
        <v>449</v>
      </c>
      <c r="AS158" s="61">
        <v>1</v>
      </c>
      <c r="AT158" s="61" t="s">
        <v>450</v>
      </c>
      <c r="AU158" s="61" t="s">
        <v>450</v>
      </c>
      <c r="AV158" s="61" t="s">
        <v>450</v>
      </c>
      <c r="AW158" s="61">
        <v>2242</v>
      </c>
      <c r="AX158" s="61">
        <v>0</v>
      </c>
      <c r="AY158" s="61">
        <v>0</v>
      </c>
      <c r="AZ158" s="61">
        <v>0</v>
      </c>
      <c r="BA158" s="61" t="s">
        <v>451</v>
      </c>
      <c r="BB158" s="61" t="s">
        <v>452</v>
      </c>
      <c r="BC158" s="61" t="s">
        <v>453</v>
      </c>
      <c r="BD158" s="61" t="s">
        <v>587</v>
      </c>
      <c r="BE158" s="61" t="s">
        <v>455</v>
      </c>
      <c r="BF158" s="61" t="s">
        <v>456</v>
      </c>
      <c r="BG158" s="61" t="s">
        <v>456</v>
      </c>
      <c r="BH158" s="61" t="s">
        <v>456</v>
      </c>
      <c r="BI158" s="61" t="s">
        <v>456</v>
      </c>
      <c r="BJ158" s="61" t="s">
        <v>456</v>
      </c>
      <c r="BK158" s="61" t="s">
        <v>456</v>
      </c>
      <c r="BL158" s="61" t="s">
        <v>456</v>
      </c>
      <c r="BM158" s="61">
        <v>4035</v>
      </c>
      <c r="BN158" s="61">
        <v>782</v>
      </c>
      <c r="BO158" s="61">
        <v>1523</v>
      </c>
      <c r="BP158" s="61">
        <v>3926</v>
      </c>
      <c r="BQ158" s="61">
        <v>3490</v>
      </c>
      <c r="BR158" s="61">
        <v>0</v>
      </c>
      <c r="BS158" s="61">
        <v>0</v>
      </c>
      <c r="BT158" s="61">
        <v>0</v>
      </c>
      <c r="BU158" s="61">
        <v>0</v>
      </c>
      <c r="BV158" s="61">
        <v>0</v>
      </c>
      <c r="BW158" s="61">
        <v>0</v>
      </c>
      <c r="BX158" s="61">
        <v>0</v>
      </c>
      <c r="BY158" s="61" t="s">
        <v>454</v>
      </c>
      <c r="BZ158" s="61" t="s">
        <v>452</v>
      </c>
      <c r="CA158" s="61" t="s">
        <v>456</v>
      </c>
      <c r="CB158" s="66"/>
      <c r="CC158" s="61">
        <v>2</v>
      </c>
      <c r="CD158" s="61">
        <v>2</v>
      </c>
      <c r="CE158" s="61">
        <v>0</v>
      </c>
      <c r="CF158" s="61"/>
      <c r="CG158" s="61" t="s">
        <v>449</v>
      </c>
    </row>
    <row r="159" s="52" customFormat="1" ht="13.5" spans="1:85">
      <c r="A159" s="61" t="s">
        <v>39</v>
      </c>
      <c r="B159" s="61" t="s">
        <v>731</v>
      </c>
      <c r="C159" s="61">
        <v>12450</v>
      </c>
      <c r="D159" s="61"/>
      <c r="E159" s="61" t="s">
        <v>732</v>
      </c>
      <c r="F159" s="61" t="b">
        <f>IF(COUNTIF(按提示输入属性!D14,E159)&gt;0,TRUE,FALSE)</f>
        <v>0</v>
      </c>
      <c r="G159" s="61"/>
      <c r="H159" s="61"/>
      <c r="I159" s="61"/>
      <c r="J159" s="61"/>
      <c r="K159" s="61">
        <v>435</v>
      </c>
      <c r="L159" s="61">
        <f>INT(K159*F342)</f>
        <v>467</v>
      </c>
      <c r="M159" s="61">
        <v>846</v>
      </c>
      <c r="N159" s="61">
        <f>INT(M159*F342)</f>
        <v>909</v>
      </c>
      <c r="O159" s="61">
        <v>2181</v>
      </c>
      <c r="P159" s="61">
        <f>INT(O159*F342)</f>
        <v>2345</v>
      </c>
      <c r="Q159" s="61">
        <v>0</v>
      </c>
      <c r="R159" s="61">
        <f>INT(Q159*F342)</f>
        <v>0</v>
      </c>
      <c r="S159" s="61">
        <v>0</v>
      </c>
      <c r="T159" s="61">
        <f>INT(S159*F342)</f>
        <v>0</v>
      </c>
      <c r="U159" s="61">
        <v>1939</v>
      </c>
      <c r="V159" s="61">
        <f>INT(U159*F342)</f>
        <v>2084</v>
      </c>
      <c r="W159" s="61">
        <v>0</v>
      </c>
      <c r="X159" s="61">
        <f>INT(W159*F342)</f>
        <v>0</v>
      </c>
      <c r="Y159" s="61">
        <v>0</v>
      </c>
      <c r="Z159" s="61">
        <v>0</v>
      </c>
      <c r="AA159" s="61">
        <v>0</v>
      </c>
      <c r="AB159" s="61">
        <v>0</v>
      </c>
      <c r="AC159" s="61">
        <v>0</v>
      </c>
      <c r="AD159" s="61">
        <v>0</v>
      </c>
      <c r="AE159" s="61">
        <v>0</v>
      </c>
      <c r="AF159" s="61">
        <v>1</v>
      </c>
      <c r="AG159" s="61">
        <v>0</v>
      </c>
      <c r="AH159" s="61">
        <v>0</v>
      </c>
      <c r="AI159" s="61">
        <v>0</v>
      </c>
      <c r="AJ159" s="61"/>
      <c r="AK159" s="61"/>
      <c r="AL159" s="61"/>
      <c r="AM159" s="61"/>
      <c r="AN159" s="61"/>
      <c r="AO159" s="61"/>
      <c r="AP159" s="61" t="s">
        <v>468</v>
      </c>
      <c r="AQ159" s="61">
        <v>6</v>
      </c>
      <c r="AR159" s="61" t="s">
        <v>469</v>
      </c>
      <c r="AS159" s="61">
        <v>1</v>
      </c>
      <c r="AT159" s="61" t="s">
        <v>450</v>
      </c>
      <c r="AU159" s="61" t="s">
        <v>450</v>
      </c>
      <c r="AV159" s="61" t="s">
        <v>450</v>
      </c>
      <c r="AW159" s="61">
        <v>2242</v>
      </c>
      <c r="AX159" s="61">
        <v>0</v>
      </c>
      <c r="AY159" s="61">
        <v>0</v>
      </c>
      <c r="AZ159" s="61">
        <v>0</v>
      </c>
      <c r="BA159" s="61" t="s">
        <v>451</v>
      </c>
      <c r="BB159" s="61" t="s">
        <v>452</v>
      </c>
      <c r="BC159" s="61" t="s">
        <v>453</v>
      </c>
      <c r="BD159" s="61" t="s">
        <v>461</v>
      </c>
      <c r="BE159" s="61" t="s">
        <v>455</v>
      </c>
      <c r="BF159" s="61" t="s">
        <v>456</v>
      </c>
      <c r="BG159" s="61" t="s">
        <v>456</v>
      </c>
      <c r="BH159" s="61" t="s">
        <v>456</v>
      </c>
      <c r="BI159" s="61" t="s">
        <v>456</v>
      </c>
      <c r="BJ159" s="61" t="s">
        <v>456</v>
      </c>
      <c r="BK159" s="61" t="s">
        <v>456</v>
      </c>
      <c r="BL159" s="61" t="s">
        <v>456</v>
      </c>
      <c r="BM159" s="61">
        <v>4483</v>
      </c>
      <c r="BN159" s="61">
        <v>869</v>
      </c>
      <c r="BO159" s="61">
        <v>1692</v>
      </c>
      <c r="BP159" s="61">
        <v>4362</v>
      </c>
      <c r="BQ159" s="61">
        <v>3877</v>
      </c>
      <c r="BR159" s="61">
        <v>0</v>
      </c>
      <c r="BS159" s="61">
        <v>0</v>
      </c>
      <c r="BT159" s="61">
        <v>0</v>
      </c>
      <c r="BU159" s="61">
        <v>0</v>
      </c>
      <c r="BV159" s="61">
        <v>0</v>
      </c>
      <c r="BW159" s="61">
        <v>0</v>
      </c>
      <c r="BX159" s="61">
        <v>0</v>
      </c>
      <c r="BY159" s="61" t="s">
        <v>453</v>
      </c>
      <c r="BZ159" s="61" t="s">
        <v>461</v>
      </c>
      <c r="CA159" s="61" t="s">
        <v>456</v>
      </c>
      <c r="CB159" s="66"/>
      <c r="CC159" s="61">
        <v>2</v>
      </c>
      <c r="CD159" s="61">
        <v>2</v>
      </c>
      <c r="CE159" s="61">
        <v>0</v>
      </c>
      <c r="CF159" s="61"/>
      <c r="CG159" s="61" t="s">
        <v>449</v>
      </c>
    </row>
    <row r="160" s="52" customFormat="1" ht="13.5" spans="1:85">
      <c r="A160" s="61" t="s">
        <v>39</v>
      </c>
      <c r="B160" s="61" t="s">
        <v>711</v>
      </c>
      <c r="C160" s="61">
        <v>12450</v>
      </c>
      <c r="D160" s="61"/>
      <c r="E160" s="61" t="s">
        <v>733</v>
      </c>
      <c r="F160" s="61" t="b">
        <f>IF(COUNTIF(按提示输入属性!D14,E160)&gt;0,TRUE,FALSE)</f>
        <v>0</v>
      </c>
      <c r="G160" s="61"/>
      <c r="H160" s="61"/>
      <c r="I160" s="61"/>
      <c r="J160" s="61"/>
      <c r="K160" s="61">
        <v>435</v>
      </c>
      <c r="L160" s="61">
        <f>INT(K160*F342)</f>
        <v>467</v>
      </c>
      <c r="M160" s="61">
        <v>846</v>
      </c>
      <c r="N160" s="61">
        <f>INT(M160*F342)</f>
        <v>909</v>
      </c>
      <c r="O160" s="61">
        <v>0</v>
      </c>
      <c r="P160" s="61">
        <f>INT(O160*F342)</f>
        <v>0</v>
      </c>
      <c r="Q160" s="61">
        <v>0</v>
      </c>
      <c r="R160" s="61">
        <f>INT(Q160*F342)</f>
        <v>0</v>
      </c>
      <c r="S160" s="61">
        <v>2181</v>
      </c>
      <c r="T160" s="61">
        <f>INT(S160*F342)</f>
        <v>2345</v>
      </c>
      <c r="U160" s="61">
        <v>1939</v>
      </c>
      <c r="V160" s="61">
        <f>INT(U160*F342)</f>
        <v>2084</v>
      </c>
      <c r="W160" s="61">
        <v>0</v>
      </c>
      <c r="X160" s="61">
        <f>INT(W160*F342)</f>
        <v>0</v>
      </c>
      <c r="Y160" s="61">
        <v>0</v>
      </c>
      <c r="Z160" s="61">
        <v>0</v>
      </c>
      <c r="AA160" s="61">
        <v>0</v>
      </c>
      <c r="AB160" s="61">
        <v>0</v>
      </c>
      <c r="AC160" s="61">
        <v>1</v>
      </c>
      <c r="AD160" s="61">
        <v>0</v>
      </c>
      <c r="AE160" s="61">
        <v>0</v>
      </c>
      <c r="AF160" s="61">
        <v>0</v>
      </c>
      <c r="AG160" s="61">
        <v>0</v>
      </c>
      <c r="AH160" s="61">
        <v>0</v>
      </c>
      <c r="AI160" s="61">
        <v>0</v>
      </c>
      <c r="AJ160" s="61"/>
      <c r="AK160" s="61"/>
      <c r="AL160" s="61"/>
      <c r="AM160" s="61"/>
      <c r="AN160" s="61"/>
      <c r="AO160" s="61"/>
      <c r="AP160" s="61" t="s">
        <v>465</v>
      </c>
      <c r="AQ160" s="61">
        <v>6</v>
      </c>
      <c r="AR160" s="61" t="s">
        <v>458</v>
      </c>
      <c r="AS160" s="61">
        <v>1</v>
      </c>
      <c r="AT160" s="61" t="s">
        <v>450</v>
      </c>
      <c r="AU160" s="61" t="s">
        <v>450</v>
      </c>
      <c r="AV160" s="61" t="s">
        <v>450</v>
      </c>
      <c r="AW160" s="61">
        <v>2242</v>
      </c>
      <c r="AX160" s="61">
        <v>0</v>
      </c>
      <c r="AY160" s="61">
        <v>0</v>
      </c>
      <c r="AZ160" s="61">
        <v>0</v>
      </c>
      <c r="BA160" s="61" t="s">
        <v>451</v>
      </c>
      <c r="BB160" s="61" t="s">
        <v>453</v>
      </c>
      <c r="BC160" s="61" t="s">
        <v>462</v>
      </c>
      <c r="BD160" s="61" t="s">
        <v>456</v>
      </c>
      <c r="BE160" s="61" t="s">
        <v>456</v>
      </c>
      <c r="BF160" s="61" t="s">
        <v>456</v>
      </c>
      <c r="BG160" s="61" t="s">
        <v>456</v>
      </c>
      <c r="BH160" s="61" t="s">
        <v>456</v>
      </c>
      <c r="BI160" s="61" t="s">
        <v>456</v>
      </c>
      <c r="BJ160" s="61" t="s">
        <v>456</v>
      </c>
      <c r="BK160" s="61" t="s">
        <v>456</v>
      </c>
      <c r="BL160" s="61" t="s">
        <v>456</v>
      </c>
      <c r="BM160" s="61">
        <v>3138</v>
      </c>
      <c r="BN160" s="61">
        <v>3098</v>
      </c>
      <c r="BO160" s="61">
        <v>5683</v>
      </c>
      <c r="BP160" s="61">
        <v>0</v>
      </c>
      <c r="BQ160" s="61">
        <v>0</v>
      </c>
      <c r="BR160" s="61">
        <v>0</v>
      </c>
      <c r="BS160" s="61">
        <v>0</v>
      </c>
      <c r="BT160" s="61">
        <v>0</v>
      </c>
      <c r="BU160" s="61">
        <v>0</v>
      </c>
      <c r="BV160" s="61">
        <v>0</v>
      </c>
      <c r="BW160" s="61">
        <v>0</v>
      </c>
      <c r="BX160" s="61">
        <v>0</v>
      </c>
      <c r="BY160" s="61" t="s">
        <v>454</v>
      </c>
      <c r="BZ160" s="61" t="s">
        <v>462</v>
      </c>
      <c r="CA160" s="61" t="s">
        <v>456</v>
      </c>
      <c r="CB160" s="66"/>
      <c r="CC160" s="61">
        <v>2</v>
      </c>
      <c r="CD160" s="61">
        <v>2</v>
      </c>
      <c r="CE160" s="61">
        <v>0</v>
      </c>
      <c r="CF160" s="61"/>
      <c r="CG160" s="61" t="s">
        <v>449</v>
      </c>
    </row>
    <row r="161" s="52" customFormat="1" ht="13.5" spans="1:85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>
        <f>INT(K161*F342)</f>
        <v>0</v>
      </c>
      <c r="M161" s="61"/>
      <c r="N161" s="61">
        <f>INT(M161*F342)</f>
        <v>0</v>
      </c>
      <c r="O161" s="61"/>
      <c r="P161" s="61">
        <f>INT(O161*F342)</f>
        <v>0</v>
      </c>
      <c r="Q161" s="61"/>
      <c r="R161" s="61">
        <f>INT(Q161*F342)</f>
        <v>0</v>
      </c>
      <c r="S161" s="61"/>
      <c r="T161" s="61">
        <f>INT(S161*F342)</f>
        <v>0</v>
      </c>
      <c r="U161" s="61"/>
      <c r="V161" s="61">
        <f>INT(U161*F342)</f>
        <v>0</v>
      </c>
      <c r="W161" s="61"/>
      <c r="X161" s="61">
        <f>INT(W161*F342)</f>
        <v>0</v>
      </c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6"/>
      <c r="CC161" s="61"/>
      <c r="CD161" s="61"/>
      <c r="CE161" s="61"/>
      <c r="CF161" s="61"/>
      <c r="CG161" s="61"/>
    </row>
    <row r="162" s="52" customFormat="1" ht="13.5" spans="1:85">
      <c r="A162" s="61" t="s">
        <v>36</v>
      </c>
      <c r="B162" s="61" t="s">
        <v>734</v>
      </c>
      <c r="C162" s="61">
        <v>14150</v>
      </c>
      <c r="D162" s="61"/>
      <c r="E162" s="61" t="s">
        <v>735</v>
      </c>
      <c r="F162" s="61" t="b">
        <f>IF(COUNTIF(按提示输入属性!D13,E162)&gt;0,TRUE,FALSE)</f>
        <v>0</v>
      </c>
      <c r="G162" s="61"/>
      <c r="H162" s="61"/>
      <c r="I162" s="61"/>
      <c r="J162" s="61"/>
      <c r="K162" s="61">
        <v>692</v>
      </c>
      <c r="L162" s="61">
        <f>INT(K162*F342)</f>
        <v>744</v>
      </c>
      <c r="M162" s="61">
        <v>1346</v>
      </c>
      <c r="N162" s="61">
        <f>INT(M162*F342)</f>
        <v>1447</v>
      </c>
      <c r="O162" s="61">
        <v>0</v>
      </c>
      <c r="P162" s="61">
        <f>INT(O162*F342)</f>
        <v>0</v>
      </c>
      <c r="Q162" s="61">
        <v>0</v>
      </c>
      <c r="R162" s="61">
        <f>INT(Q162*F342)</f>
        <v>0</v>
      </c>
      <c r="S162" s="61">
        <v>3470</v>
      </c>
      <c r="T162" s="61">
        <f>INT(S162*F342)</f>
        <v>3731</v>
      </c>
      <c r="U162" s="61">
        <v>3085</v>
      </c>
      <c r="V162" s="61">
        <f>INT(U162*F342)</f>
        <v>3317</v>
      </c>
      <c r="W162" s="61">
        <v>0</v>
      </c>
      <c r="X162" s="61">
        <f>INT(W162*F342)</f>
        <v>0</v>
      </c>
      <c r="Y162" s="61">
        <v>0</v>
      </c>
      <c r="Z162" s="61">
        <v>0</v>
      </c>
      <c r="AA162" s="61">
        <v>0</v>
      </c>
      <c r="AB162" s="61">
        <v>0</v>
      </c>
      <c r="AC162" s="61">
        <v>0</v>
      </c>
      <c r="AD162" s="61">
        <v>1</v>
      </c>
      <c r="AE162" s="61">
        <v>0</v>
      </c>
      <c r="AF162" s="61">
        <v>0</v>
      </c>
      <c r="AG162" s="61">
        <v>1</v>
      </c>
      <c r="AH162" s="61">
        <v>0</v>
      </c>
      <c r="AI162" s="61">
        <v>0</v>
      </c>
      <c r="AJ162" s="61"/>
      <c r="AK162" s="61">
        <v>1</v>
      </c>
      <c r="AL162" s="61"/>
      <c r="AM162" s="61"/>
      <c r="AN162" s="61"/>
      <c r="AO162" s="61"/>
      <c r="AP162" s="61" t="s">
        <v>465</v>
      </c>
      <c r="AQ162" s="61">
        <v>6</v>
      </c>
      <c r="AR162" s="61" t="s">
        <v>503</v>
      </c>
      <c r="AS162" s="61">
        <v>1</v>
      </c>
      <c r="AT162" s="61" t="s">
        <v>450</v>
      </c>
      <c r="AU162" s="61" t="s">
        <v>450</v>
      </c>
      <c r="AV162" s="61" t="s">
        <v>450</v>
      </c>
      <c r="AW162" s="61">
        <v>3567</v>
      </c>
      <c r="AX162" s="61">
        <v>0</v>
      </c>
      <c r="AY162" s="61">
        <v>0</v>
      </c>
      <c r="AZ162" s="61">
        <v>0</v>
      </c>
      <c r="BA162" s="61" t="s">
        <v>451</v>
      </c>
      <c r="BB162" s="61" t="s">
        <v>453</v>
      </c>
      <c r="BC162" s="61" t="s">
        <v>455</v>
      </c>
      <c r="BD162" s="61" t="s">
        <v>454</v>
      </c>
      <c r="BE162" s="61" t="s">
        <v>456</v>
      </c>
      <c r="BF162" s="61" t="s">
        <v>456</v>
      </c>
      <c r="BG162" s="61" t="s">
        <v>456</v>
      </c>
      <c r="BH162" s="61" t="s">
        <v>456</v>
      </c>
      <c r="BI162" s="61" t="s">
        <v>456</v>
      </c>
      <c r="BJ162" s="61" t="s">
        <v>456</v>
      </c>
      <c r="BK162" s="61" t="s">
        <v>456</v>
      </c>
      <c r="BL162" s="61" t="s">
        <v>456</v>
      </c>
      <c r="BM162" s="61">
        <v>3138</v>
      </c>
      <c r="BN162" s="61">
        <v>2552</v>
      </c>
      <c r="BO162" s="61">
        <v>3562</v>
      </c>
      <c r="BP162" s="61">
        <v>3223</v>
      </c>
      <c r="BQ162" s="61">
        <v>0</v>
      </c>
      <c r="BR162" s="61">
        <v>0</v>
      </c>
      <c r="BS162" s="61">
        <v>0</v>
      </c>
      <c r="BT162" s="61">
        <v>0</v>
      </c>
      <c r="BU162" s="61">
        <v>0</v>
      </c>
      <c r="BV162" s="61">
        <v>0</v>
      </c>
      <c r="BW162" s="61">
        <v>0</v>
      </c>
      <c r="BX162" s="61">
        <v>0</v>
      </c>
      <c r="BY162" s="61" t="s">
        <v>487</v>
      </c>
      <c r="BZ162" s="61" t="s">
        <v>453</v>
      </c>
      <c r="CA162" s="61" t="s">
        <v>456</v>
      </c>
      <c r="CB162" s="66"/>
      <c r="CC162" s="61">
        <v>2</v>
      </c>
      <c r="CD162" s="61">
        <v>2</v>
      </c>
      <c r="CE162" s="61">
        <v>0</v>
      </c>
      <c r="CF162" s="61"/>
      <c r="CG162" s="61" t="s">
        <v>449</v>
      </c>
    </row>
    <row r="163" s="52" customFormat="1" ht="13.5" spans="1:85">
      <c r="A163" s="61" t="s">
        <v>36</v>
      </c>
      <c r="B163" s="61" t="s">
        <v>736</v>
      </c>
      <c r="C163" s="61">
        <v>13950</v>
      </c>
      <c r="D163" s="61"/>
      <c r="E163" s="61" t="s">
        <v>737</v>
      </c>
      <c r="F163" s="61" t="b">
        <f>IF(COUNTIF(按提示输入属性!D13,E163)&gt;0,TRUE,FALSE)</f>
        <v>0</v>
      </c>
      <c r="G163" s="61"/>
      <c r="H163" s="61"/>
      <c r="I163" s="61"/>
      <c r="J163" s="61"/>
      <c r="K163" s="61">
        <v>682</v>
      </c>
      <c r="L163" s="61">
        <f>INT(K163*F342)</f>
        <v>733</v>
      </c>
      <c r="M163" s="61">
        <v>1327</v>
      </c>
      <c r="N163" s="61">
        <f>INT(M163*F342)</f>
        <v>1426</v>
      </c>
      <c r="O163" s="61">
        <v>0</v>
      </c>
      <c r="P163" s="61">
        <f>INT(O163*F342)</f>
        <v>0</v>
      </c>
      <c r="Q163" s="61">
        <v>0</v>
      </c>
      <c r="R163" s="61">
        <f>INT(Q163*F342)</f>
        <v>0</v>
      </c>
      <c r="S163" s="61">
        <v>0</v>
      </c>
      <c r="T163" s="61">
        <f>INT(S163*F342)</f>
        <v>0</v>
      </c>
      <c r="U163" s="61">
        <v>3041</v>
      </c>
      <c r="V163" s="61">
        <f>INT(U163*F342)</f>
        <v>3269</v>
      </c>
      <c r="W163" s="61">
        <v>0</v>
      </c>
      <c r="X163" s="61">
        <f>INT(W163*F342)</f>
        <v>0</v>
      </c>
      <c r="Y163" s="61">
        <v>3421</v>
      </c>
      <c r="Z163" s="61">
        <v>0</v>
      </c>
      <c r="AA163" s="61">
        <v>0</v>
      </c>
      <c r="AB163" s="61">
        <v>1</v>
      </c>
      <c r="AC163" s="61">
        <v>1</v>
      </c>
      <c r="AD163" s="61">
        <v>0</v>
      </c>
      <c r="AE163" s="61">
        <v>0</v>
      </c>
      <c r="AF163" s="61">
        <v>0</v>
      </c>
      <c r="AG163" s="61">
        <v>0</v>
      </c>
      <c r="AH163" s="61">
        <v>0</v>
      </c>
      <c r="AI163" s="61">
        <v>0</v>
      </c>
      <c r="AJ163" s="61"/>
      <c r="AK163" s="61"/>
      <c r="AL163" s="61"/>
      <c r="AM163" s="61"/>
      <c r="AN163" s="61"/>
      <c r="AO163" s="61"/>
      <c r="AP163" s="61" t="s">
        <v>448</v>
      </c>
      <c r="AQ163" s="61">
        <v>6</v>
      </c>
      <c r="AR163" s="61" t="s">
        <v>449</v>
      </c>
      <c r="AS163" s="61">
        <v>1</v>
      </c>
      <c r="AT163" s="61" t="s">
        <v>450</v>
      </c>
      <c r="AU163" s="61" t="s">
        <v>450</v>
      </c>
      <c r="AV163" s="61" t="s">
        <v>450</v>
      </c>
      <c r="AW163" s="61">
        <v>3516</v>
      </c>
      <c r="AX163" s="61">
        <v>0</v>
      </c>
      <c r="AY163" s="61">
        <v>0</v>
      </c>
      <c r="AZ163" s="61">
        <v>0</v>
      </c>
      <c r="BA163" s="61" t="s">
        <v>451</v>
      </c>
      <c r="BB163" s="61" t="s">
        <v>453</v>
      </c>
      <c r="BC163" s="61" t="s">
        <v>454</v>
      </c>
      <c r="BD163" s="61" t="s">
        <v>462</v>
      </c>
      <c r="BE163" s="61" t="s">
        <v>456</v>
      </c>
      <c r="BF163" s="61" t="s">
        <v>456</v>
      </c>
      <c r="BG163" s="61" t="s">
        <v>456</v>
      </c>
      <c r="BH163" s="61" t="s">
        <v>456</v>
      </c>
      <c r="BI163" s="61" t="s">
        <v>456</v>
      </c>
      <c r="BJ163" s="61" t="s">
        <v>456</v>
      </c>
      <c r="BK163" s="61" t="s">
        <v>456</v>
      </c>
      <c r="BL163" s="61" t="s">
        <v>456</v>
      </c>
      <c r="BM163" s="61">
        <v>3138</v>
      </c>
      <c r="BN163" s="61">
        <v>2552</v>
      </c>
      <c r="BO163" s="61">
        <v>3223</v>
      </c>
      <c r="BP163" s="61">
        <v>3562</v>
      </c>
      <c r="BQ163" s="61">
        <v>0</v>
      </c>
      <c r="BR163" s="61">
        <v>0</v>
      </c>
      <c r="BS163" s="61">
        <v>0</v>
      </c>
      <c r="BT163" s="61">
        <v>0</v>
      </c>
      <c r="BU163" s="61">
        <v>0</v>
      </c>
      <c r="BV163" s="61">
        <v>0</v>
      </c>
      <c r="BW163" s="61">
        <v>0</v>
      </c>
      <c r="BX163" s="61">
        <v>0</v>
      </c>
      <c r="BY163" s="61" t="s">
        <v>455</v>
      </c>
      <c r="BZ163" s="61" t="s">
        <v>453</v>
      </c>
      <c r="CA163" s="61" t="s">
        <v>456</v>
      </c>
      <c r="CB163" s="66"/>
      <c r="CC163" s="61">
        <v>2</v>
      </c>
      <c r="CD163" s="61">
        <v>2</v>
      </c>
      <c r="CE163" s="61">
        <v>0</v>
      </c>
      <c r="CF163" s="61"/>
      <c r="CG163" s="61" t="s">
        <v>449</v>
      </c>
    </row>
    <row r="164" s="52" customFormat="1" ht="13.5" spans="1:85">
      <c r="A164" s="61" t="s">
        <v>36</v>
      </c>
      <c r="B164" s="61" t="s">
        <v>738</v>
      </c>
      <c r="C164" s="61">
        <v>13950</v>
      </c>
      <c r="D164" s="61"/>
      <c r="E164" s="61" t="s">
        <v>739</v>
      </c>
      <c r="F164" s="61" t="b">
        <f>IF(COUNTIF(按提示输入属性!D13,E164)&gt;0,TRUE,FALSE)</f>
        <v>0</v>
      </c>
      <c r="G164" s="61"/>
      <c r="H164" s="61"/>
      <c r="I164" s="61"/>
      <c r="J164" s="61"/>
      <c r="K164" s="61">
        <v>682</v>
      </c>
      <c r="L164" s="61">
        <f>INT(K164*F342)</f>
        <v>733</v>
      </c>
      <c r="M164" s="61">
        <v>1327</v>
      </c>
      <c r="N164" s="61">
        <f>INT(M164*F342)</f>
        <v>1426</v>
      </c>
      <c r="O164" s="61">
        <v>3421</v>
      </c>
      <c r="P164" s="61">
        <f>INT(O164*F342)</f>
        <v>3678</v>
      </c>
      <c r="Q164" s="61">
        <v>0</v>
      </c>
      <c r="R164" s="61">
        <f>INT(Q164*F342)</f>
        <v>0</v>
      </c>
      <c r="S164" s="61">
        <v>0</v>
      </c>
      <c r="T164" s="61">
        <f>INT(S164*F342)</f>
        <v>0</v>
      </c>
      <c r="U164" s="61">
        <v>0</v>
      </c>
      <c r="V164" s="61">
        <f>INT(U164*F342)</f>
        <v>0</v>
      </c>
      <c r="W164" s="61">
        <v>3041</v>
      </c>
      <c r="X164" s="61">
        <f>INT(W164*F342)</f>
        <v>3269</v>
      </c>
      <c r="Y164" s="61">
        <v>0</v>
      </c>
      <c r="Z164" s="61">
        <v>0</v>
      </c>
      <c r="AA164" s="61">
        <v>0</v>
      </c>
      <c r="AB164" s="61">
        <v>1</v>
      </c>
      <c r="AC164" s="61">
        <v>0</v>
      </c>
      <c r="AD164" s="61">
        <v>0</v>
      </c>
      <c r="AE164" s="61">
        <v>0</v>
      </c>
      <c r="AF164" s="61">
        <v>0</v>
      </c>
      <c r="AG164" s="61">
        <v>0</v>
      </c>
      <c r="AH164" s="61">
        <v>1</v>
      </c>
      <c r="AI164" s="61">
        <v>0</v>
      </c>
      <c r="AJ164" s="61"/>
      <c r="AK164" s="61"/>
      <c r="AL164" s="61"/>
      <c r="AM164" s="61"/>
      <c r="AN164" s="61"/>
      <c r="AO164" s="61"/>
      <c r="AP164" s="61" t="s">
        <v>460</v>
      </c>
      <c r="AQ164" s="61">
        <v>6</v>
      </c>
      <c r="AR164" s="61" t="s">
        <v>449</v>
      </c>
      <c r="AS164" s="61">
        <v>1</v>
      </c>
      <c r="AT164" s="61" t="s">
        <v>450</v>
      </c>
      <c r="AU164" s="61" t="s">
        <v>450</v>
      </c>
      <c r="AV164" s="61" t="s">
        <v>450</v>
      </c>
      <c r="AW164" s="61">
        <v>3516</v>
      </c>
      <c r="AX164" s="61">
        <v>0</v>
      </c>
      <c r="AY164" s="61">
        <v>0</v>
      </c>
      <c r="AZ164" s="61">
        <v>0</v>
      </c>
      <c r="BA164" s="61" t="s">
        <v>451</v>
      </c>
      <c r="BB164" s="61" t="s">
        <v>453</v>
      </c>
      <c r="BC164" s="61" t="s">
        <v>487</v>
      </c>
      <c r="BD164" s="61" t="s">
        <v>462</v>
      </c>
      <c r="BE164" s="61" t="s">
        <v>456</v>
      </c>
      <c r="BF164" s="61" t="s">
        <v>456</v>
      </c>
      <c r="BG164" s="61" t="s">
        <v>456</v>
      </c>
      <c r="BH164" s="61" t="s">
        <v>456</v>
      </c>
      <c r="BI164" s="61" t="s">
        <v>456</v>
      </c>
      <c r="BJ164" s="61" t="s">
        <v>456</v>
      </c>
      <c r="BK164" s="61" t="s">
        <v>456</v>
      </c>
      <c r="BL164" s="61" t="s">
        <v>456</v>
      </c>
      <c r="BM164" s="61">
        <v>3138</v>
      </c>
      <c r="BN164" s="61">
        <v>2187</v>
      </c>
      <c r="BO164" s="61">
        <v>2205</v>
      </c>
      <c r="BP164" s="61">
        <v>5428</v>
      </c>
      <c r="BQ164" s="61">
        <v>0</v>
      </c>
      <c r="BR164" s="61">
        <v>0</v>
      </c>
      <c r="BS164" s="61">
        <v>0</v>
      </c>
      <c r="BT164" s="61">
        <v>0</v>
      </c>
      <c r="BU164" s="61">
        <v>0</v>
      </c>
      <c r="BV164" s="61">
        <v>0</v>
      </c>
      <c r="BW164" s="61">
        <v>0</v>
      </c>
      <c r="BX164" s="61">
        <v>0</v>
      </c>
      <c r="BY164" s="61" t="s">
        <v>455</v>
      </c>
      <c r="BZ164" s="61" t="s">
        <v>453</v>
      </c>
      <c r="CA164" s="61" t="s">
        <v>456</v>
      </c>
      <c r="CB164" s="66"/>
      <c r="CC164" s="61">
        <v>2</v>
      </c>
      <c r="CD164" s="61">
        <v>2</v>
      </c>
      <c r="CE164" s="61">
        <v>0</v>
      </c>
      <c r="CF164" s="61"/>
      <c r="CG164" s="61" t="s">
        <v>449</v>
      </c>
    </row>
    <row r="165" s="52" customFormat="1" ht="13.5" spans="1:85">
      <c r="A165" s="61" t="s">
        <v>36</v>
      </c>
      <c r="B165" s="61" t="s">
        <v>740</v>
      </c>
      <c r="C165" s="61">
        <v>13950</v>
      </c>
      <c r="D165" s="61"/>
      <c r="E165" s="61" t="s">
        <v>741</v>
      </c>
      <c r="F165" s="61" t="b">
        <f>IF(COUNTIF(按提示输入属性!D13,E165)&gt;0,TRUE,FALSE)</f>
        <v>0</v>
      </c>
      <c r="G165" s="61"/>
      <c r="H165" s="61"/>
      <c r="I165" s="61"/>
      <c r="J165" s="61"/>
      <c r="K165" s="61">
        <v>682</v>
      </c>
      <c r="L165" s="61">
        <f>INT(K165*F342)</f>
        <v>733</v>
      </c>
      <c r="M165" s="61">
        <v>1327</v>
      </c>
      <c r="N165" s="61">
        <f>INT(M165*F342)</f>
        <v>1426</v>
      </c>
      <c r="O165" s="61">
        <v>3421</v>
      </c>
      <c r="P165" s="61">
        <f>INT(O165*F342)</f>
        <v>3678</v>
      </c>
      <c r="Q165" s="61">
        <v>0</v>
      </c>
      <c r="R165" s="61">
        <f>INT(Q165*F342)</f>
        <v>0</v>
      </c>
      <c r="S165" s="61">
        <v>0</v>
      </c>
      <c r="T165" s="61">
        <f>INT(S165*F342)</f>
        <v>0</v>
      </c>
      <c r="U165" s="61">
        <v>3041</v>
      </c>
      <c r="V165" s="61">
        <f>INT(U165*F342)</f>
        <v>3269</v>
      </c>
      <c r="W165" s="61">
        <v>0</v>
      </c>
      <c r="X165" s="61">
        <f>INT(W165*F342)</f>
        <v>0</v>
      </c>
      <c r="Y165" s="61">
        <v>0</v>
      </c>
      <c r="Z165" s="61">
        <v>0</v>
      </c>
      <c r="AA165" s="61">
        <v>0</v>
      </c>
      <c r="AB165" s="61">
        <v>0</v>
      </c>
      <c r="AC165" s="61">
        <v>0</v>
      </c>
      <c r="AD165" s="61">
        <v>1</v>
      </c>
      <c r="AE165" s="61">
        <v>0</v>
      </c>
      <c r="AF165" s="61">
        <v>0</v>
      </c>
      <c r="AG165" s="61">
        <v>1</v>
      </c>
      <c r="AH165" s="61">
        <v>0</v>
      </c>
      <c r="AI165" s="61">
        <v>0</v>
      </c>
      <c r="AJ165" s="61"/>
      <c r="AK165" s="61"/>
      <c r="AL165" s="61"/>
      <c r="AM165" s="61"/>
      <c r="AN165" s="61"/>
      <c r="AO165" s="61"/>
      <c r="AP165" s="61" t="s">
        <v>468</v>
      </c>
      <c r="AQ165" s="61">
        <v>6</v>
      </c>
      <c r="AR165" s="61" t="s">
        <v>469</v>
      </c>
      <c r="AS165" s="61">
        <v>1</v>
      </c>
      <c r="AT165" s="61" t="s">
        <v>450</v>
      </c>
      <c r="AU165" s="61" t="s">
        <v>450</v>
      </c>
      <c r="AV165" s="61" t="s">
        <v>450</v>
      </c>
      <c r="AW165" s="61">
        <v>3516</v>
      </c>
      <c r="AX165" s="61">
        <v>0</v>
      </c>
      <c r="AY165" s="61">
        <v>0</v>
      </c>
      <c r="AZ165" s="61">
        <v>0</v>
      </c>
      <c r="BA165" s="61" t="s">
        <v>451</v>
      </c>
      <c r="BB165" s="61" t="s">
        <v>453</v>
      </c>
      <c r="BC165" s="61" t="s">
        <v>455</v>
      </c>
      <c r="BD165" s="61" t="s">
        <v>456</v>
      </c>
      <c r="BE165" s="61" t="s">
        <v>456</v>
      </c>
      <c r="BF165" s="61" t="s">
        <v>456</v>
      </c>
      <c r="BG165" s="61" t="s">
        <v>456</v>
      </c>
      <c r="BH165" s="61" t="s">
        <v>456</v>
      </c>
      <c r="BI165" s="61" t="s">
        <v>456</v>
      </c>
      <c r="BJ165" s="61" t="s">
        <v>456</v>
      </c>
      <c r="BK165" s="61" t="s">
        <v>456</v>
      </c>
      <c r="BL165" s="61" t="s">
        <v>456</v>
      </c>
      <c r="BM165" s="61">
        <v>3138</v>
      </c>
      <c r="BN165" s="61">
        <v>3098</v>
      </c>
      <c r="BO165" s="61">
        <v>5683</v>
      </c>
      <c r="BP165" s="61">
        <v>0</v>
      </c>
      <c r="BQ165" s="61">
        <v>0</v>
      </c>
      <c r="BR165" s="61">
        <v>0</v>
      </c>
      <c r="BS165" s="61">
        <v>0</v>
      </c>
      <c r="BT165" s="61">
        <v>0</v>
      </c>
      <c r="BU165" s="61">
        <v>0</v>
      </c>
      <c r="BV165" s="61">
        <v>0</v>
      </c>
      <c r="BW165" s="61">
        <v>0</v>
      </c>
      <c r="BX165" s="61">
        <v>0</v>
      </c>
      <c r="BY165" s="61" t="s">
        <v>487</v>
      </c>
      <c r="BZ165" s="61" t="s">
        <v>455</v>
      </c>
      <c r="CA165" s="61" t="s">
        <v>456</v>
      </c>
      <c r="CB165" s="66"/>
      <c r="CC165" s="61">
        <v>2</v>
      </c>
      <c r="CD165" s="61">
        <v>2</v>
      </c>
      <c r="CE165" s="61">
        <v>0</v>
      </c>
      <c r="CF165" s="61"/>
      <c r="CG165" s="61" t="s">
        <v>449</v>
      </c>
    </row>
    <row r="166" s="52" customFormat="1" ht="13.5" spans="1:85">
      <c r="A166" s="61" t="s">
        <v>36</v>
      </c>
      <c r="B166" s="61" t="s">
        <v>742</v>
      </c>
      <c r="C166" s="61">
        <v>13750</v>
      </c>
      <c r="D166" s="61"/>
      <c r="E166" s="61" t="s">
        <v>37</v>
      </c>
      <c r="F166" s="61" t="b">
        <f>IF(COUNTIF(按提示输入属性!D13,E166)&gt;0,TRUE,FALSE)</f>
        <v>1</v>
      </c>
      <c r="G166" s="61"/>
      <c r="H166" s="61"/>
      <c r="I166" s="61"/>
      <c r="J166" s="61"/>
      <c r="K166" s="61">
        <v>672</v>
      </c>
      <c r="L166" s="61">
        <f>INT(K166*F342)</f>
        <v>722</v>
      </c>
      <c r="M166" s="61">
        <v>1308</v>
      </c>
      <c r="N166" s="61">
        <f>INT(M166*F342)</f>
        <v>1406</v>
      </c>
      <c r="O166" s="61">
        <v>0</v>
      </c>
      <c r="P166" s="61">
        <f>INT(O166*F342)</f>
        <v>0</v>
      </c>
      <c r="Q166" s="61">
        <v>0</v>
      </c>
      <c r="R166" s="61">
        <f>INT(Q166*F342)</f>
        <v>0</v>
      </c>
      <c r="S166" s="61">
        <v>3372</v>
      </c>
      <c r="T166" s="61">
        <f>INT(S166*F342)</f>
        <v>3625</v>
      </c>
      <c r="U166" s="61">
        <v>0</v>
      </c>
      <c r="V166" s="61">
        <f>INT(U166*F342)</f>
        <v>0</v>
      </c>
      <c r="W166" s="61">
        <v>2998</v>
      </c>
      <c r="X166" s="61">
        <f>INT(W166*F342)</f>
        <v>3223</v>
      </c>
      <c r="Y166" s="61">
        <v>0</v>
      </c>
      <c r="Z166" s="61">
        <v>0</v>
      </c>
      <c r="AA166" s="61">
        <v>0</v>
      </c>
      <c r="AB166" s="61">
        <v>0</v>
      </c>
      <c r="AC166" s="61">
        <v>1</v>
      </c>
      <c r="AD166" s="61">
        <v>0</v>
      </c>
      <c r="AE166" s="61">
        <v>0</v>
      </c>
      <c r="AF166" s="61">
        <v>1</v>
      </c>
      <c r="AG166" s="61">
        <v>0</v>
      </c>
      <c r="AH166" s="61">
        <v>0</v>
      </c>
      <c r="AI166" s="61">
        <v>0</v>
      </c>
      <c r="AJ166" s="61"/>
      <c r="AK166" s="61"/>
      <c r="AL166" s="61"/>
      <c r="AM166" s="61">
        <v>1</v>
      </c>
      <c r="AN166" s="61"/>
      <c r="AO166" s="61"/>
      <c r="AP166" s="61" t="s">
        <v>486</v>
      </c>
      <c r="AQ166" s="61">
        <v>6</v>
      </c>
      <c r="AR166" s="61" t="s">
        <v>529</v>
      </c>
      <c r="AS166" s="61">
        <v>1</v>
      </c>
      <c r="AT166" s="61" t="s">
        <v>450</v>
      </c>
      <c r="AU166" s="61" t="s">
        <v>450</v>
      </c>
      <c r="AV166" s="61" t="s">
        <v>450</v>
      </c>
      <c r="AW166" s="61">
        <v>3466</v>
      </c>
      <c r="AX166" s="61">
        <v>0</v>
      </c>
      <c r="AY166" s="61">
        <v>0</v>
      </c>
      <c r="AZ166" s="61">
        <v>0</v>
      </c>
      <c r="BA166" s="61" t="s">
        <v>451</v>
      </c>
      <c r="BB166" s="61" t="s">
        <v>453</v>
      </c>
      <c r="BC166" s="61" t="s">
        <v>487</v>
      </c>
      <c r="BD166" s="61" t="s">
        <v>462</v>
      </c>
      <c r="BE166" s="61" t="s">
        <v>456</v>
      </c>
      <c r="BF166" s="61" t="s">
        <v>456</v>
      </c>
      <c r="BG166" s="61" t="s">
        <v>456</v>
      </c>
      <c r="BH166" s="61" t="s">
        <v>456</v>
      </c>
      <c r="BI166" s="61" t="s">
        <v>456</v>
      </c>
      <c r="BJ166" s="61" t="s">
        <v>456</v>
      </c>
      <c r="BK166" s="61" t="s">
        <v>456</v>
      </c>
      <c r="BL166" s="61" t="s">
        <v>456</v>
      </c>
      <c r="BM166" s="61">
        <v>4483</v>
      </c>
      <c r="BN166" s="61">
        <v>3124</v>
      </c>
      <c r="BO166" s="61">
        <v>3150</v>
      </c>
      <c r="BP166" s="61">
        <v>7755</v>
      </c>
      <c r="BQ166" s="61">
        <v>0</v>
      </c>
      <c r="BR166" s="61">
        <v>0</v>
      </c>
      <c r="BS166" s="61">
        <v>0</v>
      </c>
      <c r="BT166" s="61">
        <v>0</v>
      </c>
      <c r="BU166" s="61">
        <v>0</v>
      </c>
      <c r="BV166" s="61">
        <v>0</v>
      </c>
      <c r="BW166" s="61">
        <v>0</v>
      </c>
      <c r="BX166" s="61">
        <v>0</v>
      </c>
      <c r="BY166" s="61" t="s">
        <v>455</v>
      </c>
      <c r="BZ166" s="61" t="s">
        <v>453</v>
      </c>
      <c r="CA166" s="61" t="s">
        <v>456</v>
      </c>
      <c r="CB166" s="66"/>
      <c r="CC166" s="61">
        <v>2</v>
      </c>
      <c r="CD166" s="61">
        <v>2</v>
      </c>
      <c r="CE166" s="61">
        <v>0</v>
      </c>
      <c r="CF166" s="61"/>
      <c r="CG166" s="61" t="s">
        <v>449</v>
      </c>
    </row>
    <row r="167" s="53" customFormat="1" ht="13.5" spans="1:85">
      <c r="A167" s="62" t="s">
        <v>36</v>
      </c>
      <c r="B167" s="62" t="s">
        <v>743</v>
      </c>
      <c r="C167" s="62">
        <v>13550</v>
      </c>
      <c r="D167" s="62"/>
      <c r="E167" s="62" t="s">
        <v>744</v>
      </c>
      <c r="F167" s="62" t="b">
        <f>IF(COUNTIF(按提示输入属性!D13,E167)&gt;0,TRUE,FALSE)</f>
        <v>0</v>
      </c>
      <c r="G167" s="62"/>
      <c r="H167" s="62"/>
      <c r="I167" s="62"/>
      <c r="J167" s="62"/>
      <c r="K167" s="62">
        <v>0</v>
      </c>
      <c r="L167" s="62">
        <f>INT(K167*F342)</f>
        <v>0</v>
      </c>
      <c r="M167" s="62">
        <v>3372</v>
      </c>
      <c r="N167" s="62">
        <f>INT(M167*F344)</f>
        <v>3453</v>
      </c>
      <c r="O167" s="62">
        <v>0</v>
      </c>
      <c r="P167" s="61">
        <f>INT(O167*F344)</f>
        <v>0</v>
      </c>
      <c r="Q167" s="62">
        <v>0</v>
      </c>
      <c r="R167" s="61">
        <f>INT(Q167*F344)</f>
        <v>0</v>
      </c>
      <c r="S167" s="62">
        <v>6554</v>
      </c>
      <c r="T167" s="61">
        <f>INT(S167*F344)</f>
        <v>6712</v>
      </c>
      <c r="U167" s="62">
        <v>0</v>
      </c>
      <c r="V167" s="61">
        <f>INT(U167*F344)</f>
        <v>0</v>
      </c>
      <c r="W167" s="62">
        <v>0</v>
      </c>
      <c r="X167" s="61">
        <f>INT(W167*F344)</f>
        <v>0</v>
      </c>
      <c r="Y167" s="62">
        <v>0</v>
      </c>
      <c r="Z167" s="62">
        <v>0</v>
      </c>
      <c r="AA167" s="62">
        <v>0</v>
      </c>
      <c r="AB167" s="62">
        <v>0</v>
      </c>
      <c r="AC167" s="62">
        <v>1</v>
      </c>
      <c r="AD167" s="62">
        <v>0</v>
      </c>
      <c r="AE167" s="62">
        <v>0</v>
      </c>
      <c r="AF167" s="62">
        <v>0</v>
      </c>
      <c r="AG167" s="62">
        <v>1</v>
      </c>
      <c r="AH167" s="62">
        <v>0</v>
      </c>
      <c r="AI167" s="62">
        <v>0</v>
      </c>
      <c r="AJ167" s="62"/>
      <c r="AK167" s="62"/>
      <c r="AL167" s="62"/>
      <c r="AM167" s="62"/>
      <c r="AN167" s="62"/>
      <c r="AO167" s="62"/>
      <c r="AP167" s="62" t="s">
        <v>479</v>
      </c>
      <c r="AQ167" s="62">
        <v>3</v>
      </c>
      <c r="AR167" s="62" t="s">
        <v>473</v>
      </c>
      <c r="AS167" s="62">
        <v>1</v>
      </c>
      <c r="AT167" s="62" t="s">
        <v>450</v>
      </c>
      <c r="AU167" s="62" t="s">
        <v>450</v>
      </c>
      <c r="AV167" s="62" t="s">
        <v>450</v>
      </c>
      <c r="AW167" s="62">
        <v>0</v>
      </c>
      <c r="AX167" s="62">
        <v>0</v>
      </c>
      <c r="AY167" s="62">
        <v>0</v>
      </c>
      <c r="AZ167" s="62">
        <v>0</v>
      </c>
      <c r="BA167" s="62" t="s">
        <v>451</v>
      </c>
      <c r="BB167" s="62" t="s">
        <v>453</v>
      </c>
      <c r="BC167" s="62" t="s">
        <v>455</v>
      </c>
      <c r="BD167" s="62" t="s">
        <v>454</v>
      </c>
      <c r="BE167" s="62" t="s">
        <v>456</v>
      </c>
      <c r="BF167" s="62" t="s">
        <v>456</v>
      </c>
      <c r="BG167" s="62" t="s">
        <v>456</v>
      </c>
      <c r="BH167" s="62" t="s">
        <v>456</v>
      </c>
      <c r="BI167" s="62" t="s">
        <v>456</v>
      </c>
      <c r="BJ167" s="62" t="s">
        <v>456</v>
      </c>
      <c r="BK167" s="62" t="s">
        <v>456</v>
      </c>
      <c r="BL167" s="62" t="s">
        <v>456</v>
      </c>
      <c r="BM167" s="62">
        <v>4483</v>
      </c>
      <c r="BN167" s="62">
        <v>3645</v>
      </c>
      <c r="BO167" s="62">
        <v>5089</v>
      </c>
      <c r="BP167" s="62">
        <v>4604</v>
      </c>
      <c r="BQ167" s="62">
        <v>0</v>
      </c>
      <c r="BR167" s="62">
        <v>0</v>
      </c>
      <c r="BS167" s="62">
        <v>0</v>
      </c>
      <c r="BT167" s="62">
        <v>0</v>
      </c>
      <c r="BU167" s="62">
        <v>0</v>
      </c>
      <c r="BV167" s="62">
        <v>0</v>
      </c>
      <c r="BW167" s="62">
        <v>0</v>
      </c>
      <c r="BX167" s="62">
        <v>0</v>
      </c>
      <c r="BY167" s="62" t="s">
        <v>487</v>
      </c>
      <c r="BZ167" s="62" t="s">
        <v>453</v>
      </c>
      <c r="CA167" s="62" t="s">
        <v>456</v>
      </c>
      <c r="CB167" s="64"/>
      <c r="CC167" s="62">
        <v>2</v>
      </c>
      <c r="CD167" s="62">
        <v>2</v>
      </c>
      <c r="CE167" s="62">
        <v>0</v>
      </c>
      <c r="CF167" s="62"/>
      <c r="CG167" s="62" t="s">
        <v>449</v>
      </c>
    </row>
    <row r="168" s="53" customFormat="1" ht="13.5" spans="1:85">
      <c r="A168" s="62" t="s">
        <v>36</v>
      </c>
      <c r="B168" s="62" t="s">
        <v>743</v>
      </c>
      <c r="C168" s="62">
        <v>13550</v>
      </c>
      <c r="D168" s="62"/>
      <c r="E168" s="62" t="s">
        <v>745</v>
      </c>
      <c r="F168" s="62" t="b">
        <f>IF(COUNTIF(按提示输入属性!D13,E168)&gt;0,TRUE,FALSE)</f>
        <v>0</v>
      </c>
      <c r="G168" s="62"/>
      <c r="H168" s="62"/>
      <c r="I168" s="62"/>
      <c r="J168" s="62"/>
      <c r="K168" s="62">
        <v>0</v>
      </c>
      <c r="L168" s="62">
        <f>INT(K168*F342)</f>
        <v>0</v>
      </c>
      <c r="M168" s="62">
        <v>2876</v>
      </c>
      <c r="N168" s="62">
        <f>INT(M168*F344)</f>
        <v>2945</v>
      </c>
      <c r="O168" s="62">
        <v>0</v>
      </c>
      <c r="P168" s="61">
        <f>INT(O168*F344)</f>
        <v>0</v>
      </c>
      <c r="Q168" s="62">
        <v>0</v>
      </c>
      <c r="R168" s="61">
        <f>INT(Q168*F344)</f>
        <v>0</v>
      </c>
      <c r="S168" s="62">
        <v>0</v>
      </c>
      <c r="T168" s="61">
        <f>INT(S168*F344)</f>
        <v>0</v>
      </c>
      <c r="U168" s="62">
        <v>3785</v>
      </c>
      <c r="V168" s="61">
        <f>INT(U168*F344)</f>
        <v>3876</v>
      </c>
      <c r="W168" s="62">
        <v>3785</v>
      </c>
      <c r="X168" s="61">
        <f>INT(W168*F344)</f>
        <v>3876</v>
      </c>
      <c r="Y168" s="62">
        <v>0</v>
      </c>
      <c r="Z168" s="62">
        <v>0</v>
      </c>
      <c r="AA168" s="62">
        <v>0</v>
      </c>
      <c r="AB168" s="62">
        <v>0</v>
      </c>
      <c r="AC168" s="62">
        <v>0</v>
      </c>
      <c r="AD168" s="62">
        <v>1</v>
      </c>
      <c r="AE168" s="62">
        <v>0</v>
      </c>
      <c r="AF168" s="62">
        <v>0</v>
      </c>
      <c r="AG168" s="62">
        <v>0</v>
      </c>
      <c r="AH168" s="62">
        <v>1</v>
      </c>
      <c r="AI168" s="62">
        <v>0</v>
      </c>
      <c r="AJ168" s="62"/>
      <c r="AK168" s="62"/>
      <c r="AL168" s="62"/>
      <c r="AM168" s="62"/>
      <c r="AN168" s="62"/>
      <c r="AO168" s="62"/>
      <c r="AP168" s="62" t="s">
        <v>630</v>
      </c>
      <c r="AQ168" s="62">
        <v>3</v>
      </c>
      <c r="AR168" s="62" t="s">
        <v>473</v>
      </c>
      <c r="AS168" s="62">
        <v>1</v>
      </c>
      <c r="AT168" s="62" t="s">
        <v>450</v>
      </c>
      <c r="AU168" s="62" t="s">
        <v>450</v>
      </c>
      <c r="AV168" s="62" t="s">
        <v>450</v>
      </c>
      <c r="AW168" s="62">
        <v>0</v>
      </c>
      <c r="AX168" s="62">
        <v>0</v>
      </c>
      <c r="AY168" s="62">
        <v>0</v>
      </c>
      <c r="AZ168" s="62">
        <v>0</v>
      </c>
      <c r="BA168" s="62" t="s">
        <v>451</v>
      </c>
      <c r="BB168" s="62" t="s">
        <v>453</v>
      </c>
      <c r="BC168" s="62" t="s">
        <v>455</v>
      </c>
      <c r="BD168" s="62" t="s">
        <v>456</v>
      </c>
      <c r="BE168" s="62" t="s">
        <v>456</v>
      </c>
      <c r="BF168" s="62" t="s">
        <v>456</v>
      </c>
      <c r="BG168" s="62" t="s">
        <v>456</v>
      </c>
      <c r="BH168" s="62" t="s">
        <v>456</v>
      </c>
      <c r="BI168" s="62" t="s">
        <v>456</v>
      </c>
      <c r="BJ168" s="62" t="s">
        <v>456</v>
      </c>
      <c r="BK168" s="62" t="s">
        <v>456</v>
      </c>
      <c r="BL168" s="62" t="s">
        <v>456</v>
      </c>
      <c r="BM168" s="62">
        <v>4483</v>
      </c>
      <c r="BN168" s="62">
        <v>4426</v>
      </c>
      <c r="BO168" s="62">
        <v>8118</v>
      </c>
      <c r="BP168" s="62">
        <v>0</v>
      </c>
      <c r="BQ168" s="62">
        <v>0</v>
      </c>
      <c r="BR168" s="62">
        <v>0</v>
      </c>
      <c r="BS168" s="62">
        <v>0</v>
      </c>
      <c r="BT168" s="62">
        <v>0</v>
      </c>
      <c r="BU168" s="62">
        <v>0</v>
      </c>
      <c r="BV168" s="62">
        <v>0</v>
      </c>
      <c r="BW168" s="62">
        <v>0</v>
      </c>
      <c r="BX168" s="62">
        <v>0</v>
      </c>
      <c r="BY168" s="62" t="s">
        <v>487</v>
      </c>
      <c r="BZ168" s="62" t="s">
        <v>455</v>
      </c>
      <c r="CA168" s="62" t="s">
        <v>456</v>
      </c>
      <c r="CB168" s="64"/>
      <c r="CC168" s="62">
        <v>2</v>
      </c>
      <c r="CD168" s="62">
        <v>2</v>
      </c>
      <c r="CE168" s="62">
        <v>0</v>
      </c>
      <c r="CF168" s="62"/>
      <c r="CG168" s="62" t="s">
        <v>449</v>
      </c>
    </row>
    <row r="169" s="53" customFormat="1" ht="13.5" spans="1:85">
      <c r="A169" s="62" t="s">
        <v>36</v>
      </c>
      <c r="B169" s="62" t="s">
        <v>743</v>
      </c>
      <c r="C169" s="62">
        <v>13550</v>
      </c>
      <c r="D169" s="62"/>
      <c r="E169" s="62" t="s">
        <v>746</v>
      </c>
      <c r="F169" s="62" t="b">
        <f>IF(COUNTIF(按提示输入属性!D13,E169)&gt;0,TRUE,FALSE)</f>
        <v>0</v>
      </c>
      <c r="G169" s="62"/>
      <c r="H169" s="62"/>
      <c r="I169" s="62"/>
      <c r="J169" s="62"/>
      <c r="K169" s="62">
        <v>0</v>
      </c>
      <c r="L169" s="62">
        <f>INT(K169*F342)</f>
        <v>0</v>
      </c>
      <c r="M169" s="62">
        <v>2876</v>
      </c>
      <c r="N169" s="62">
        <f>INT(M169*F344)</f>
        <v>2945</v>
      </c>
      <c r="O169" s="62">
        <v>3508</v>
      </c>
      <c r="P169" s="62">
        <f>INT(O169*F344)</f>
        <v>3592</v>
      </c>
      <c r="Q169" s="62">
        <v>1846</v>
      </c>
      <c r="R169" s="62">
        <f>INT(Q169*F344)</f>
        <v>1890</v>
      </c>
      <c r="S169" s="62">
        <v>0</v>
      </c>
      <c r="T169" s="62">
        <f>INT(S169*F344)</f>
        <v>0</v>
      </c>
      <c r="U169" s="62">
        <v>0</v>
      </c>
      <c r="V169" s="62">
        <f>INT(U169*F344)</f>
        <v>0</v>
      </c>
      <c r="W169" s="62">
        <v>2031</v>
      </c>
      <c r="X169" s="62">
        <f>INT(W169*F344)</f>
        <v>2079</v>
      </c>
      <c r="Y169" s="62">
        <v>0</v>
      </c>
      <c r="Z169" s="62">
        <v>0</v>
      </c>
      <c r="AA169" s="62">
        <v>0</v>
      </c>
      <c r="AB169" s="62">
        <v>0</v>
      </c>
      <c r="AC169" s="62">
        <v>0</v>
      </c>
      <c r="AD169" s="62">
        <v>0</v>
      </c>
      <c r="AE169" s="62">
        <v>0</v>
      </c>
      <c r="AF169" s="62">
        <v>1</v>
      </c>
      <c r="AG169" s="62">
        <v>0</v>
      </c>
      <c r="AH169" s="62">
        <v>1</v>
      </c>
      <c r="AI169" s="62">
        <v>0</v>
      </c>
      <c r="AJ169" s="62"/>
      <c r="AK169" s="62"/>
      <c r="AL169" s="62"/>
      <c r="AM169" s="62"/>
      <c r="AN169" s="62"/>
      <c r="AO169" s="62"/>
      <c r="AP169" s="62" t="s">
        <v>747</v>
      </c>
      <c r="AQ169" s="62">
        <v>3</v>
      </c>
      <c r="AR169" s="62" t="s">
        <v>473</v>
      </c>
      <c r="AS169" s="62">
        <v>1</v>
      </c>
      <c r="AT169" s="62" t="s">
        <v>450</v>
      </c>
      <c r="AU169" s="62" t="s">
        <v>450</v>
      </c>
      <c r="AV169" s="62" t="s">
        <v>450</v>
      </c>
      <c r="AW169" s="62">
        <v>0</v>
      </c>
      <c r="AX169" s="62">
        <v>0</v>
      </c>
      <c r="AY169" s="62">
        <v>0</v>
      </c>
      <c r="AZ169" s="62">
        <v>0</v>
      </c>
      <c r="BA169" s="62" t="s">
        <v>451</v>
      </c>
      <c r="BB169" s="62" t="s">
        <v>453</v>
      </c>
      <c r="BC169" s="62" t="s">
        <v>454</v>
      </c>
      <c r="BD169" s="62" t="s">
        <v>462</v>
      </c>
      <c r="BE169" s="62" t="s">
        <v>456</v>
      </c>
      <c r="BF169" s="62" t="s">
        <v>456</v>
      </c>
      <c r="BG169" s="62" t="s">
        <v>456</v>
      </c>
      <c r="BH169" s="62" t="s">
        <v>456</v>
      </c>
      <c r="BI169" s="62" t="s">
        <v>456</v>
      </c>
      <c r="BJ169" s="62" t="s">
        <v>456</v>
      </c>
      <c r="BK169" s="62" t="s">
        <v>456</v>
      </c>
      <c r="BL169" s="62" t="s">
        <v>456</v>
      </c>
      <c r="BM169" s="62">
        <v>4483</v>
      </c>
      <c r="BN169" s="62">
        <v>3645</v>
      </c>
      <c r="BO169" s="62">
        <v>4604</v>
      </c>
      <c r="BP169" s="62">
        <v>5089</v>
      </c>
      <c r="BQ169" s="62">
        <v>0</v>
      </c>
      <c r="BR169" s="62">
        <v>0</v>
      </c>
      <c r="BS169" s="62">
        <v>0</v>
      </c>
      <c r="BT169" s="62">
        <v>0</v>
      </c>
      <c r="BU169" s="62">
        <v>0</v>
      </c>
      <c r="BV169" s="62">
        <v>0</v>
      </c>
      <c r="BW169" s="62">
        <v>0</v>
      </c>
      <c r="BX169" s="62">
        <v>0</v>
      </c>
      <c r="BY169" s="62" t="s">
        <v>455</v>
      </c>
      <c r="BZ169" s="62" t="s">
        <v>453</v>
      </c>
      <c r="CA169" s="62" t="s">
        <v>456</v>
      </c>
      <c r="CB169" s="64"/>
      <c r="CC169" s="62">
        <v>2</v>
      </c>
      <c r="CD169" s="62">
        <v>2</v>
      </c>
      <c r="CE169" s="62">
        <v>0</v>
      </c>
      <c r="CF169" s="62"/>
      <c r="CG169" s="62" t="s">
        <v>449</v>
      </c>
    </row>
    <row r="170" s="53" customFormat="1" ht="13.5" spans="1:85">
      <c r="A170" s="62" t="s">
        <v>36</v>
      </c>
      <c r="B170" s="62" t="s">
        <v>743</v>
      </c>
      <c r="C170" s="62">
        <v>12800</v>
      </c>
      <c r="D170" s="62"/>
      <c r="E170" s="62" t="s">
        <v>748</v>
      </c>
      <c r="F170" s="62" t="b">
        <f>IF(COUNTIF(按提示输入属性!D13,E170)&gt;0,TRUE,FALSE)</f>
        <v>0</v>
      </c>
      <c r="G170" s="62"/>
      <c r="H170" s="62"/>
      <c r="I170" s="62"/>
      <c r="J170" s="62"/>
      <c r="K170" s="62">
        <v>0</v>
      </c>
      <c r="L170" s="62">
        <f>INT(K170*F342)</f>
        <v>0</v>
      </c>
      <c r="M170" s="62">
        <v>3185</v>
      </c>
      <c r="N170" s="62">
        <f>INT(M170*F344)</f>
        <v>3261</v>
      </c>
      <c r="O170" s="62">
        <v>0</v>
      </c>
      <c r="P170" s="61">
        <f>INT(O170*F344)</f>
        <v>0</v>
      </c>
      <c r="Q170" s="62">
        <v>0</v>
      </c>
      <c r="R170" s="61">
        <f>INT(Q170*F344)</f>
        <v>0</v>
      </c>
      <c r="S170" s="62">
        <v>0</v>
      </c>
      <c r="T170" s="61">
        <f>INT(S170*F344)</f>
        <v>0</v>
      </c>
      <c r="U170" s="62">
        <v>0</v>
      </c>
      <c r="V170" s="61">
        <f>INT(U170*F344)</f>
        <v>0</v>
      </c>
      <c r="W170" s="62">
        <v>6191</v>
      </c>
      <c r="X170" s="61">
        <f>INT(W170*F344)</f>
        <v>6340</v>
      </c>
      <c r="Y170" s="62">
        <v>0</v>
      </c>
      <c r="Z170" s="62">
        <v>0</v>
      </c>
      <c r="AA170" s="62">
        <v>0</v>
      </c>
      <c r="AB170" s="62">
        <v>0</v>
      </c>
      <c r="AC170" s="62">
        <v>0</v>
      </c>
      <c r="AD170" s="62">
        <v>1</v>
      </c>
      <c r="AE170" s="62">
        <v>0</v>
      </c>
      <c r="AF170" s="62">
        <v>0</v>
      </c>
      <c r="AG170" s="62">
        <v>0</v>
      </c>
      <c r="AH170" s="62">
        <v>1</v>
      </c>
      <c r="AI170" s="62">
        <v>0</v>
      </c>
      <c r="AJ170" s="62"/>
      <c r="AK170" s="62"/>
      <c r="AL170" s="62"/>
      <c r="AM170" s="62"/>
      <c r="AN170" s="62"/>
      <c r="AO170" s="62"/>
      <c r="AP170" s="62" t="s">
        <v>568</v>
      </c>
      <c r="AQ170" s="62">
        <v>3</v>
      </c>
      <c r="AR170" s="62" t="s">
        <v>473</v>
      </c>
      <c r="AS170" s="62">
        <v>1</v>
      </c>
      <c r="AT170" s="62" t="s">
        <v>450</v>
      </c>
      <c r="AU170" s="62" t="s">
        <v>450</v>
      </c>
      <c r="AV170" s="62" t="s">
        <v>450</v>
      </c>
      <c r="AW170" s="62">
        <v>0</v>
      </c>
      <c r="AX170" s="62">
        <v>0</v>
      </c>
      <c r="AY170" s="62">
        <v>0</v>
      </c>
      <c r="AZ170" s="62">
        <v>0</v>
      </c>
      <c r="BA170" s="62" t="s">
        <v>451</v>
      </c>
      <c r="BB170" s="62" t="s">
        <v>452</v>
      </c>
      <c r="BC170" s="62" t="s">
        <v>453</v>
      </c>
      <c r="BD170" s="62" t="s">
        <v>454</v>
      </c>
      <c r="BE170" s="62" t="s">
        <v>455</v>
      </c>
      <c r="BF170" s="62" t="s">
        <v>456</v>
      </c>
      <c r="BG170" s="62" t="s">
        <v>456</v>
      </c>
      <c r="BH170" s="62" t="s">
        <v>456</v>
      </c>
      <c r="BI170" s="62" t="s">
        <v>456</v>
      </c>
      <c r="BJ170" s="62" t="s">
        <v>456</v>
      </c>
      <c r="BK170" s="62" t="s">
        <v>456</v>
      </c>
      <c r="BL170" s="62" t="s">
        <v>456</v>
      </c>
      <c r="BM170" s="62">
        <v>3138</v>
      </c>
      <c r="BN170" s="62">
        <v>609</v>
      </c>
      <c r="BO170" s="62">
        <v>1185</v>
      </c>
      <c r="BP170" s="62">
        <v>3053</v>
      </c>
      <c r="BQ170" s="62">
        <v>2714</v>
      </c>
      <c r="BR170" s="62">
        <v>0</v>
      </c>
      <c r="BS170" s="62">
        <v>0</v>
      </c>
      <c r="BT170" s="62">
        <v>0</v>
      </c>
      <c r="BU170" s="62">
        <v>0</v>
      </c>
      <c r="BV170" s="62">
        <v>0</v>
      </c>
      <c r="BW170" s="62">
        <v>0</v>
      </c>
      <c r="BX170" s="62">
        <v>0</v>
      </c>
      <c r="BY170" s="62" t="s">
        <v>453</v>
      </c>
      <c r="BZ170" s="62" t="s">
        <v>454</v>
      </c>
      <c r="CA170" s="62" t="s">
        <v>456</v>
      </c>
      <c r="CB170" s="64"/>
      <c r="CC170" s="62">
        <v>2</v>
      </c>
      <c r="CD170" s="62">
        <v>2</v>
      </c>
      <c r="CE170" s="62">
        <v>0</v>
      </c>
      <c r="CF170" s="62"/>
      <c r="CG170" s="62" t="s">
        <v>500</v>
      </c>
    </row>
    <row r="171" s="53" customFormat="1" ht="13.5" spans="1:85">
      <c r="A171" s="62" t="s">
        <v>36</v>
      </c>
      <c r="B171" s="62" t="s">
        <v>743</v>
      </c>
      <c r="C171" s="62">
        <v>12800</v>
      </c>
      <c r="D171" s="62"/>
      <c r="E171" s="62" t="s">
        <v>749</v>
      </c>
      <c r="F171" s="62" t="b">
        <f>IF(COUNTIF(按提示输入属性!D13,E171)&gt;0,TRUE,FALSE)</f>
        <v>0</v>
      </c>
      <c r="G171" s="62"/>
      <c r="H171" s="62"/>
      <c r="I171" s="62"/>
      <c r="J171" s="62"/>
      <c r="K171" s="62">
        <v>0</v>
      </c>
      <c r="L171" s="62">
        <f>INT(K171*F342)</f>
        <v>0</v>
      </c>
      <c r="M171" s="62">
        <v>2717</v>
      </c>
      <c r="N171" s="62">
        <f>INT(M171*F344)</f>
        <v>2782</v>
      </c>
      <c r="O171" s="62">
        <v>0</v>
      </c>
      <c r="P171" s="61">
        <f>INT(O171*F344)</f>
        <v>0</v>
      </c>
      <c r="Q171" s="62">
        <v>0</v>
      </c>
      <c r="R171" s="61">
        <f>INT(Q171*F344)</f>
        <v>0</v>
      </c>
      <c r="S171" s="62">
        <v>3488</v>
      </c>
      <c r="T171" s="61">
        <f>INT(S171*F344)</f>
        <v>3572</v>
      </c>
      <c r="U171" s="62">
        <v>0</v>
      </c>
      <c r="V171" s="61">
        <f>INT(U171*F344)</f>
        <v>0</v>
      </c>
      <c r="W171" s="62">
        <v>3662</v>
      </c>
      <c r="X171" s="61">
        <f>INT(W171*F344)</f>
        <v>3750</v>
      </c>
      <c r="Y171" s="62">
        <v>0</v>
      </c>
      <c r="Z171" s="62">
        <v>0</v>
      </c>
      <c r="AA171" s="62">
        <v>0</v>
      </c>
      <c r="AB171" s="62">
        <v>0</v>
      </c>
      <c r="AC171" s="62">
        <v>1</v>
      </c>
      <c r="AD171" s="62">
        <v>0</v>
      </c>
      <c r="AE171" s="62">
        <v>0</v>
      </c>
      <c r="AF171" s="62">
        <v>0</v>
      </c>
      <c r="AG171" s="62">
        <v>1</v>
      </c>
      <c r="AH171" s="62">
        <v>0</v>
      </c>
      <c r="AI171" s="62">
        <v>0</v>
      </c>
      <c r="AJ171" s="62"/>
      <c r="AK171" s="62"/>
      <c r="AL171" s="62"/>
      <c r="AM171" s="62"/>
      <c r="AN171" s="62"/>
      <c r="AO171" s="62"/>
      <c r="AP171" s="62" t="s">
        <v>512</v>
      </c>
      <c r="AQ171" s="62">
        <v>3</v>
      </c>
      <c r="AR171" s="62" t="s">
        <v>473</v>
      </c>
      <c r="AS171" s="62">
        <v>1</v>
      </c>
      <c r="AT171" s="62" t="s">
        <v>450</v>
      </c>
      <c r="AU171" s="62" t="s">
        <v>450</v>
      </c>
      <c r="AV171" s="62" t="s">
        <v>450</v>
      </c>
      <c r="AW171" s="62">
        <v>0</v>
      </c>
      <c r="AX171" s="62">
        <v>0</v>
      </c>
      <c r="AY171" s="62">
        <v>0</v>
      </c>
      <c r="AZ171" s="62">
        <v>0</v>
      </c>
      <c r="BA171" s="62" t="s">
        <v>451</v>
      </c>
      <c r="BB171" s="62" t="s">
        <v>452</v>
      </c>
      <c r="BC171" s="62" t="s">
        <v>453</v>
      </c>
      <c r="BD171" s="62" t="s">
        <v>454</v>
      </c>
      <c r="BE171" s="62" t="s">
        <v>462</v>
      </c>
      <c r="BF171" s="62" t="s">
        <v>456</v>
      </c>
      <c r="BG171" s="62" t="s">
        <v>456</v>
      </c>
      <c r="BH171" s="62" t="s">
        <v>456</v>
      </c>
      <c r="BI171" s="62" t="s">
        <v>456</v>
      </c>
      <c r="BJ171" s="62" t="s">
        <v>456</v>
      </c>
      <c r="BK171" s="62" t="s">
        <v>456</v>
      </c>
      <c r="BL171" s="62" t="s">
        <v>456</v>
      </c>
      <c r="BM171" s="62">
        <v>4483</v>
      </c>
      <c r="BN171" s="62">
        <v>869</v>
      </c>
      <c r="BO171" s="62">
        <v>1692</v>
      </c>
      <c r="BP171" s="62">
        <v>4362</v>
      </c>
      <c r="BQ171" s="62">
        <v>3877</v>
      </c>
      <c r="BR171" s="62">
        <v>0</v>
      </c>
      <c r="BS171" s="62">
        <v>0</v>
      </c>
      <c r="BT171" s="62">
        <v>0</v>
      </c>
      <c r="BU171" s="62">
        <v>0</v>
      </c>
      <c r="BV171" s="62">
        <v>0</v>
      </c>
      <c r="BW171" s="62">
        <v>0</v>
      </c>
      <c r="BX171" s="62">
        <v>0</v>
      </c>
      <c r="BY171" s="62" t="s">
        <v>453</v>
      </c>
      <c r="BZ171" s="62" t="s">
        <v>461</v>
      </c>
      <c r="CA171" s="62" t="s">
        <v>456</v>
      </c>
      <c r="CB171" s="64"/>
      <c r="CC171" s="62">
        <v>2</v>
      </c>
      <c r="CD171" s="62">
        <v>2</v>
      </c>
      <c r="CE171" s="62">
        <v>0</v>
      </c>
      <c r="CF171" s="62"/>
      <c r="CG171" s="62" t="s">
        <v>500</v>
      </c>
    </row>
    <row r="172" s="53" customFormat="1" ht="13.5" spans="1:85">
      <c r="A172" s="62" t="s">
        <v>36</v>
      </c>
      <c r="B172" s="62" t="s">
        <v>743</v>
      </c>
      <c r="C172" s="62">
        <v>12800</v>
      </c>
      <c r="D172" s="62"/>
      <c r="E172" s="62" t="s">
        <v>750</v>
      </c>
      <c r="F172" s="62" t="b">
        <f>IF(COUNTIF(按提示输入属性!D13,E172)&gt;0,TRUE,FALSE)</f>
        <v>0</v>
      </c>
      <c r="G172" s="62"/>
      <c r="H172" s="62"/>
      <c r="I172" s="62"/>
      <c r="J172" s="62"/>
      <c r="K172" s="62">
        <v>0</v>
      </c>
      <c r="L172" s="62">
        <f>INT(K172*F342)</f>
        <v>0</v>
      </c>
      <c r="M172" s="62">
        <v>2717</v>
      </c>
      <c r="N172" s="62">
        <f>INT(M172*F344)</f>
        <v>2782</v>
      </c>
      <c r="O172" s="62">
        <v>3314</v>
      </c>
      <c r="P172" s="62">
        <f>INT(O172*F344)</f>
        <v>3393</v>
      </c>
      <c r="Q172" s="62">
        <v>0</v>
      </c>
      <c r="R172" s="62">
        <f>INT(Q172*F344)</f>
        <v>0</v>
      </c>
      <c r="S172" s="62">
        <v>0</v>
      </c>
      <c r="T172" s="62">
        <f>INT(S172*F344)</f>
        <v>0</v>
      </c>
      <c r="U172" s="62">
        <v>1918</v>
      </c>
      <c r="V172" s="62">
        <f>INT(U172*F344)</f>
        <v>1964</v>
      </c>
      <c r="W172" s="62">
        <v>1918</v>
      </c>
      <c r="X172" s="62">
        <f>INT(W172*F344)</f>
        <v>1964</v>
      </c>
      <c r="Y172" s="62">
        <v>0</v>
      </c>
      <c r="Z172" s="62">
        <v>0</v>
      </c>
      <c r="AA172" s="62">
        <v>0</v>
      </c>
      <c r="AB172" s="62">
        <v>0</v>
      </c>
      <c r="AC172" s="62">
        <v>0</v>
      </c>
      <c r="AD172" s="62">
        <v>0</v>
      </c>
      <c r="AE172" s="62">
        <v>0</v>
      </c>
      <c r="AF172" s="62">
        <v>1</v>
      </c>
      <c r="AG172" s="62">
        <v>0</v>
      </c>
      <c r="AH172" s="62">
        <v>1</v>
      </c>
      <c r="AI172" s="62">
        <v>0</v>
      </c>
      <c r="AJ172" s="62"/>
      <c r="AK172" s="62"/>
      <c r="AL172" s="62"/>
      <c r="AM172" s="62"/>
      <c r="AN172" s="62"/>
      <c r="AO172" s="62"/>
      <c r="AP172" s="62" t="s">
        <v>720</v>
      </c>
      <c r="AQ172" s="62">
        <v>3</v>
      </c>
      <c r="AR172" s="62" t="s">
        <v>473</v>
      </c>
      <c r="AS172" s="62">
        <v>1</v>
      </c>
      <c r="AT172" s="62" t="s">
        <v>450</v>
      </c>
      <c r="AU172" s="62" t="s">
        <v>450</v>
      </c>
      <c r="AV172" s="62" t="s">
        <v>450</v>
      </c>
      <c r="AW172" s="62">
        <v>0</v>
      </c>
      <c r="AX172" s="62">
        <v>0</v>
      </c>
      <c r="AY172" s="62">
        <v>0</v>
      </c>
      <c r="AZ172" s="62">
        <v>0</v>
      </c>
      <c r="BA172" s="62" t="s">
        <v>451</v>
      </c>
      <c r="BB172" s="62" t="s">
        <v>452</v>
      </c>
      <c r="BC172" s="62" t="s">
        <v>453</v>
      </c>
      <c r="BD172" s="62" t="s">
        <v>461</v>
      </c>
      <c r="BE172" s="62" t="s">
        <v>455</v>
      </c>
      <c r="BF172" s="62" t="s">
        <v>456</v>
      </c>
      <c r="BG172" s="62" t="s">
        <v>456</v>
      </c>
      <c r="BH172" s="62" t="s">
        <v>456</v>
      </c>
      <c r="BI172" s="62" t="s">
        <v>456</v>
      </c>
      <c r="BJ172" s="62" t="s">
        <v>456</v>
      </c>
      <c r="BK172" s="62" t="s">
        <v>456</v>
      </c>
      <c r="BL172" s="62" t="s">
        <v>456</v>
      </c>
      <c r="BM172" s="62">
        <v>4035</v>
      </c>
      <c r="BN172" s="62">
        <v>782</v>
      </c>
      <c r="BO172" s="62">
        <v>1523</v>
      </c>
      <c r="BP172" s="62">
        <v>3926</v>
      </c>
      <c r="BQ172" s="62">
        <v>3490</v>
      </c>
      <c r="BR172" s="62">
        <v>0</v>
      </c>
      <c r="BS172" s="62">
        <v>0</v>
      </c>
      <c r="BT172" s="62">
        <v>0</v>
      </c>
      <c r="BU172" s="62">
        <v>0</v>
      </c>
      <c r="BV172" s="62">
        <v>0</v>
      </c>
      <c r="BW172" s="62">
        <v>0</v>
      </c>
      <c r="BX172" s="62">
        <v>0</v>
      </c>
      <c r="BY172" s="62" t="s">
        <v>453</v>
      </c>
      <c r="BZ172" s="62" t="s">
        <v>454</v>
      </c>
      <c r="CA172" s="62" t="s">
        <v>456</v>
      </c>
      <c r="CB172" s="64"/>
      <c r="CC172" s="62">
        <v>2</v>
      </c>
      <c r="CD172" s="62">
        <v>2</v>
      </c>
      <c r="CE172" s="62">
        <v>0</v>
      </c>
      <c r="CF172" s="62"/>
      <c r="CG172" s="62" t="s">
        <v>500</v>
      </c>
    </row>
    <row r="173" s="52" customFormat="1" ht="13.5" spans="1:85">
      <c r="A173" s="61" t="s">
        <v>36</v>
      </c>
      <c r="B173" s="61" t="s">
        <v>751</v>
      </c>
      <c r="C173" s="61">
        <v>12600</v>
      </c>
      <c r="D173" s="61"/>
      <c r="E173" s="61" t="s">
        <v>752</v>
      </c>
      <c r="F173" s="61" t="b">
        <f>IF(COUNTIF(按提示输入属性!D13,E173)&gt;0,TRUE,FALSE)</f>
        <v>0</v>
      </c>
      <c r="G173" s="61"/>
      <c r="H173" s="61"/>
      <c r="I173" s="61"/>
      <c r="J173" s="61"/>
      <c r="K173" s="61">
        <v>616</v>
      </c>
      <c r="L173" s="61">
        <f>INT(K173*F342)</f>
        <v>662</v>
      </c>
      <c r="M173" s="61">
        <v>1199</v>
      </c>
      <c r="N173" s="61">
        <f>INT(M173*F342)</f>
        <v>1289</v>
      </c>
      <c r="O173" s="61">
        <v>0</v>
      </c>
      <c r="P173" s="61">
        <f>INT(O173*F342)</f>
        <v>0</v>
      </c>
      <c r="Q173" s="61">
        <v>0</v>
      </c>
      <c r="R173" s="61">
        <f>INT(Q173*F342)</f>
        <v>0</v>
      </c>
      <c r="S173" s="61">
        <v>3090</v>
      </c>
      <c r="T173" s="61">
        <f>INT(S173*F342)</f>
        <v>3322</v>
      </c>
      <c r="U173" s="61">
        <v>2747</v>
      </c>
      <c r="V173" s="61">
        <f>INT(U173*F342)</f>
        <v>2953</v>
      </c>
      <c r="W173" s="61">
        <v>0</v>
      </c>
      <c r="X173" s="61">
        <f>INT(W173*F342)</f>
        <v>0</v>
      </c>
      <c r="Y173" s="61">
        <v>0</v>
      </c>
      <c r="Z173" s="61">
        <v>0</v>
      </c>
      <c r="AA173" s="61">
        <v>0</v>
      </c>
      <c r="AB173" s="61">
        <v>0</v>
      </c>
      <c r="AC173" s="61">
        <v>0</v>
      </c>
      <c r="AD173" s="61">
        <v>1</v>
      </c>
      <c r="AE173" s="61">
        <v>0</v>
      </c>
      <c r="AF173" s="61">
        <v>0</v>
      </c>
      <c r="AG173" s="61">
        <v>1</v>
      </c>
      <c r="AH173" s="61">
        <v>0</v>
      </c>
      <c r="AI173" s="61">
        <v>0</v>
      </c>
      <c r="AJ173" s="61">
        <v>1</v>
      </c>
      <c r="AK173" s="61"/>
      <c r="AL173" s="61"/>
      <c r="AM173" s="61"/>
      <c r="AN173" s="61"/>
      <c r="AO173" s="61"/>
      <c r="AP173" s="61" t="s">
        <v>465</v>
      </c>
      <c r="AQ173" s="61">
        <v>6</v>
      </c>
      <c r="AR173" s="61" t="s">
        <v>503</v>
      </c>
      <c r="AS173" s="61">
        <v>1</v>
      </c>
      <c r="AT173" s="61" t="s">
        <v>450</v>
      </c>
      <c r="AU173" s="61" t="s">
        <v>450</v>
      </c>
      <c r="AV173" s="61" t="s">
        <v>450</v>
      </c>
      <c r="AW173" s="61">
        <v>3176</v>
      </c>
      <c r="AX173" s="61">
        <v>0</v>
      </c>
      <c r="AY173" s="61">
        <v>0</v>
      </c>
      <c r="AZ173" s="61">
        <v>0</v>
      </c>
      <c r="BA173" s="61" t="s">
        <v>451</v>
      </c>
      <c r="BB173" s="61" t="s">
        <v>452</v>
      </c>
      <c r="BC173" s="61" t="s">
        <v>453</v>
      </c>
      <c r="BD173" s="61" t="s">
        <v>461</v>
      </c>
      <c r="BE173" s="61" t="s">
        <v>455</v>
      </c>
      <c r="BF173" s="61" t="s">
        <v>456</v>
      </c>
      <c r="BG173" s="61" t="s">
        <v>456</v>
      </c>
      <c r="BH173" s="61" t="s">
        <v>456</v>
      </c>
      <c r="BI173" s="61" t="s">
        <v>456</v>
      </c>
      <c r="BJ173" s="61" t="s">
        <v>456</v>
      </c>
      <c r="BK173" s="61" t="s">
        <v>456</v>
      </c>
      <c r="BL173" s="61" t="s">
        <v>456</v>
      </c>
      <c r="BM173" s="61">
        <v>3138</v>
      </c>
      <c r="BN173" s="61">
        <v>609</v>
      </c>
      <c r="BO173" s="61">
        <v>1185</v>
      </c>
      <c r="BP173" s="61">
        <v>3053</v>
      </c>
      <c r="BQ173" s="61">
        <v>2714</v>
      </c>
      <c r="BR173" s="61">
        <v>0</v>
      </c>
      <c r="BS173" s="61">
        <v>0</v>
      </c>
      <c r="BT173" s="61">
        <v>0</v>
      </c>
      <c r="BU173" s="61">
        <v>0</v>
      </c>
      <c r="BV173" s="61">
        <v>0</v>
      </c>
      <c r="BW173" s="61">
        <v>0</v>
      </c>
      <c r="BX173" s="61">
        <v>0</v>
      </c>
      <c r="BY173" s="61" t="s">
        <v>452</v>
      </c>
      <c r="BZ173" s="61" t="s">
        <v>453</v>
      </c>
      <c r="CA173" s="61" t="s">
        <v>456</v>
      </c>
      <c r="CB173" s="66"/>
      <c r="CC173" s="61">
        <v>2</v>
      </c>
      <c r="CD173" s="61">
        <v>2</v>
      </c>
      <c r="CE173" s="61">
        <v>0</v>
      </c>
      <c r="CF173" s="61"/>
      <c r="CG173" s="61" t="s">
        <v>557</v>
      </c>
    </row>
    <row r="174" s="52" customFormat="1" ht="13.5" spans="1:85">
      <c r="A174" s="61" t="s">
        <v>36</v>
      </c>
      <c r="B174" s="61" t="s">
        <v>753</v>
      </c>
      <c r="C174" s="61">
        <v>12450</v>
      </c>
      <c r="D174" s="61"/>
      <c r="E174" s="61" t="s">
        <v>754</v>
      </c>
      <c r="F174" s="61" t="b">
        <f>IF(COUNTIF(按提示输入属性!D13,E174)&gt;0,TRUE,FALSE)</f>
        <v>0</v>
      </c>
      <c r="G174" s="61"/>
      <c r="H174" s="61"/>
      <c r="I174" s="61"/>
      <c r="J174" s="61"/>
      <c r="K174" s="61">
        <v>609</v>
      </c>
      <c r="L174" s="61">
        <f>INT(K174*F342)</f>
        <v>654</v>
      </c>
      <c r="M174" s="61">
        <v>1185</v>
      </c>
      <c r="N174" s="61">
        <f>INT(M174*F342)</f>
        <v>1274</v>
      </c>
      <c r="O174" s="61">
        <v>0</v>
      </c>
      <c r="P174" s="61">
        <f>INT(O174*F342)</f>
        <v>0</v>
      </c>
      <c r="Q174" s="61">
        <v>0</v>
      </c>
      <c r="R174" s="61">
        <f>INT(Q174*F342)</f>
        <v>0</v>
      </c>
      <c r="S174" s="61">
        <v>0</v>
      </c>
      <c r="T174" s="61">
        <f>INT(S174*F342)</f>
        <v>0</v>
      </c>
      <c r="U174" s="61">
        <v>2714</v>
      </c>
      <c r="V174" s="61">
        <f>INT(U174*F342)</f>
        <v>2918</v>
      </c>
      <c r="W174" s="61">
        <v>0</v>
      </c>
      <c r="X174" s="61">
        <f>INT(W174*F342)</f>
        <v>0</v>
      </c>
      <c r="Y174" s="61">
        <v>3053</v>
      </c>
      <c r="Z174" s="61">
        <v>0</v>
      </c>
      <c r="AA174" s="61">
        <v>0</v>
      </c>
      <c r="AB174" s="61">
        <v>1</v>
      </c>
      <c r="AC174" s="61">
        <v>1</v>
      </c>
      <c r="AD174" s="61">
        <v>0</v>
      </c>
      <c r="AE174" s="61">
        <v>0</v>
      </c>
      <c r="AF174" s="61">
        <v>0</v>
      </c>
      <c r="AG174" s="61">
        <v>0</v>
      </c>
      <c r="AH174" s="61">
        <v>0</v>
      </c>
      <c r="AI174" s="61">
        <v>0</v>
      </c>
      <c r="AJ174" s="61"/>
      <c r="AK174" s="61"/>
      <c r="AL174" s="61"/>
      <c r="AM174" s="61"/>
      <c r="AN174" s="61"/>
      <c r="AO174" s="61"/>
      <c r="AP174" s="61" t="s">
        <v>448</v>
      </c>
      <c r="AQ174" s="61">
        <v>6</v>
      </c>
      <c r="AR174" s="61" t="s">
        <v>449</v>
      </c>
      <c r="AS174" s="61">
        <v>1</v>
      </c>
      <c r="AT174" s="61" t="s">
        <v>450</v>
      </c>
      <c r="AU174" s="61" t="s">
        <v>450</v>
      </c>
      <c r="AV174" s="61" t="s">
        <v>450</v>
      </c>
      <c r="AW174" s="61">
        <v>3138</v>
      </c>
      <c r="AX174" s="61">
        <v>0</v>
      </c>
      <c r="AY174" s="61">
        <v>0</v>
      </c>
      <c r="AZ174" s="61">
        <v>0</v>
      </c>
      <c r="BA174" s="61" t="s">
        <v>451</v>
      </c>
      <c r="BB174" s="61" t="s">
        <v>452</v>
      </c>
      <c r="BC174" s="61" t="s">
        <v>453</v>
      </c>
      <c r="BD174" s="61" t="s">
        <v>461</v>
      </c>
      <c r="BE174" s="61" t="s">
        <v>455</v>
      </c>
      <c r="BF174" s="61" t="s">
        <v>456</v>
      </c>
      <c r="BG174" s="61" t="s">
        <v>456</v>
      </c>
      <c r="BH174" s="61" t="s">
        <v>456</v>
      </c>
      <c r="BI174" s="61" t="s">
        <v>456</v>
      </c>
      <c r="BJ174" s="61" t="s">
        <v>456</v>
      </c>
      <c r="BK174" s="61" t="s">
        <v>456</v>
      </c>
      <c r="BL174" s="61" t="s">
        <v>456</v>
      </c>
      <c r="BM174" s="61">
        <v>3138</v>
      </c>
      <c r="BN174" s="61">
        <v>609</v>
      </c>
      <c r="BO174" s="61">
        <v>1185</v>
      </c>
      <c r="BP174" s="61">
        <v>3053</v>
      </c>
      <c r="BQ174" s="61">
        <v>2714</v>
      </c>
      <c r="BR174" s="61">
        <v>0</v>
      </c>
      <c r="BS174" s="61">
        <v>0</v>
      </c>
      <c r="BT174" s="61">
        <v>0</v>
      </c>
      <c r="BU174" s="61">
        <v>0</v>
      </c>
      <c r="BV174" s="61">
        <v>0</v>
      </c>
      <c r="BW174" s="61">
        <v>0</v>
      </c>
      <c r="BX174" s="61">
        <v>0</v>
      </c>
      <c r="BY174" s="61" t="s">
        <v>572</v>
      </c>
      <c r="BZ174" s="61" t="s">
        <v>461</v>
      </c>
      <c r="CA174" s="61" t="s">
        <v>456</v>
      </c>
      <c r="CB174" s="66"/>
      <c r="CC174" s="61">
        <v>2</v>
      </c>
      <c r="CD174" s="61">
        <v>2</v>
      </c>
      <c r="CE174" s="61">
        <v>0</v>
      </c>
      <c r="CF174" s="61"/>
      <c r="CG174" s="61" t="s">
        <v>557</v>
      </c>
    </row>
    <row r="175" s="52" customFormat="1" ht="13.5" spans="1:85">
      <c r="A175" s="61" t="s">
        <v>36</v>
      </c>
      <c r="B175" s="61" t="s">
        <v>755</v>
      </c>
      <c r="C175" s="61">
        <v>12450</v>
      </c>
      <c r="D175" s="61"/>
      <c r="E175" s="61" t="s">
        <v>756</v>
      </c>
      <c r="F175" s="61" t="b">
        <f>IF(COUNTIF(按提示输入属性!D13,E175)&gt;0,TRUE,FALSE)</f>
        <v>0</v>
      </c>
      <c r="G175" s="61"/>
      <c r="H175" s="61"/>
      <c r="I175" s="61"/>
      <c r="J175" s="61"/>
      <c r="K175" s="61">
        <v>609</v>
      </c>
      <c r="L175" s="61">
        <f>INT(K175*F342)</f>
        <v>654</v>
      </c>
      <c r="M175" s="61">
        <v>1185</v>
      </c>
      <c r="N175" s="61">
        <f>INT(M175*F342)</f>
        <v>1274</v>
      </c>
      <c r="O175" s="61">
        <v>3053</v>
      </c>
      <c r="P175" s="61">
        <f>INT(O175*F342)</f>
        <v>3282</v>
      </c>
      <c r="Q175" s="61">
        <v>0</v>
      </c>
      <c r="R175" s="61">
        <f>INT(Q175*F342)</f>
        <v>0</v>
      </c>
      <c r="S175" s="61">
        <v>0</v>
      </c>
      <c r="T175" s="61">
        <f>INT(S175*F342)</f>
        <v>0</v>
      </c>
      <c r="U175" s="61">
        <v>0</v>
      </c>
      <c r="V175" s="61">
        <f>INT(U175*F342)</f>
        <v>0</v>
      </c>
      <c r="W175" s="61">
        <v>2714</v>
      </c>
      <c r="X175" s="61">
        <f>INT(W175*F342)</f>
        <v>2918</v>
      </c>
      <c r="Y175" s="61">
        <v>0</v>
      </c>
      <c r="Z175" s="61">
        <v>0</v>
      </c>
      <c r="AA175" s="61">
        <v>0</v>
      </c>
      <c r="AB175" s="61">
        <v>1</v>
      </c>
      <c r="AC175" s="61">
        <v>0</v>
      </c>
      <c r="AD175" s="61">
        <v>0</v>
      </c>
      <c r="AE175" s="61">
        <v>0</v>
      </c>
      <c r="AF175" s="61">
        <v>0</v>
      </c>
      <c r="AG175" s="61">
        <v>0</v>
      </c>
      <c r="AH175" s="61">
        <v>1</v>
      </c>
      <c r="AI175" s="61">
        <v>0</v>
      </c>
      <c r="AJ175" s="61"/>
      <c r="AK175" s="61"/>
      <c r="AL175" s="61"/>
      <c r="AM175" s="61"/>
      <c r="AN175" s="61"/>
      <c r="AO175" s="61"/>
      <c r="AP175" s="61" t="s">
        <v>460</v>
      </c>
      <c r="AQ175" s="61">
        <v>6</v>
      </c>
      <c r="AR175" s="61" t="s">
        <v>449</v>
      </c>
      <c r="AS175" s="61">
        <v>1</v>
      </c>
      <c r="AT175" s="61" t="s">
        <v>450</v>
      </c>
      <c r="AU175" s="61" t="s">
        <v>450</v>
      </c>
      <c r="AV175" s="61" t="s">
        <v>450</v>
      </c>
      <c r="AW175" s="61">
        <v>3138</v>
      </c>
      <c r="AX175" s="61">
        <v>0</v>
      </c>
      <c r="AY175" s="61">
        <v>0</v>
      </c>
      <c r="AZ175" s="61">
        <v>0</v>
      </c>
      <c r="BA175" s="61" t="s">
        <v>451</v>
      </c>
      <c r="BB175" s="61" t="s">
        <v>452</v>
      </c>
      <c r="BC175" s="61" t="s">
        <v>453</v>
      </c>
      <c r="BD175" s="61" t="s">
        <v>461</v>
      </c>
      <c r="BE175" s="61" t="s">
        <v>455</v>
      </c>
      <c r="BF175" s="61" t="s">
        <v>456</v>
      </c>
      <c r="BG175" s="61" t="s">
        <v>456</v>
      </c>
      <c r="BH175" s="61" t="s">
        <v>456</v>
      </c>
      <c r="BI175" s="61" t="s">
        <v>456</v>
      </c>
      <c r="BJ175" s="61" t="s">
        <v>456</v>
      </c>
      <c r="BK175" s="61" t="s">
        <v>456</v>
      </c>
      <c r="BL175" s="61" t="s">
        <v>456</v>
      </c>
      <c r="BM175" s="61">
        <v>3138</v>
      </c>
      <c r="BN175" s="61">
        <v>609</v>
      </c>
      <c r="BO175" s="61">
        <v>1185</v>
      </c>
      <c r="BP175" s="61">
        <v>3053</v>
      </c>
      <c r="BQ175" s="61">
        <v>2714</v>
      </c>
      <c r="BR175" s="61">
        <v>0</v>
      </c>
      <c r="BS175" s="61">
        <v>0</v>
      </c>
      <c r="BT175" s="61">
        <v>0</v>
      </c>
      <c r="BU175" s="61">
        <v>0</v>
      </c>
      <c r="BV175" s="61">
        <v>0</v>
      </c>
      <c r="BW175" s="61">
        <v>0</v>
      </c>
      <c r="BX175" s="61">
        <v>0</v>
      </c>
      <c r="BY175" s="61" t="s">
        <v>455</v>
      </c>
      <c r="BZ175" s="61" t="s">
        <v>461</v>
      </c>
      <c r="CA175" s="61" t="s">
        <v>456</v>
      </c>
      <c r="CB175" s="66"/>
      <c r="CC175" s="61">
        <v>2</v>
      </c>
      <c r="CD175" s="61">
        <v>2</v>
      </c>
      <c r="CE175" s="61">
        <v>0</v>
      </c>
      <c r="CF175" s="61"/>
      <c r="CG175" s="61" t="s">
        <v>557</v>
      </c>
    </row>
    <row r="176" s="52" customFormat="1" ht="13.5" spans="1:85">
      <c r="A176" s="61" t="s">
        <v>36</v>
      </c>
      <c r="B176" s="61" t="s">
        <v>757</v>
      </c>
      <c r="C176" s="61">
        <v>12450</v>
      </c>
      <c r="D176" s="61"/>
      <c r="E176" s="61" t="s">
        <v>758</v>
      </c>
      <c r="F176" s="61" t="b">
        <f>IF(COUNTIF(按提示输入属性!D13,E176)&gt;0,TRUE,FALSE)</f>
        <v>0</v>
      </c>
      <c r="G176" s="61"/>
      <c r="H176" s="61"/>
      <c r="I176" s="61"/>
      <c r="J176" s="61"/>
      <c r="K176" s="61">
        <v>609</v>
      </c>
      <c r="L176" s="61">
        <f>INT(K176*F342)</f>
        <v>654</v>
      </c>
      <c r="M176" s="61">
        <v>1185</v>
      </c>
      <c r="N176" s="61">
        <f>INT(M176*F342)</f>
        <v>1274</v>
      </c>
      <c r="O176" s="61">
        <v>3053</v>
      </c>
      <c r="P176" s="61">
        <f>INT(O176*F342)</f>
        <v>3282</v>
      </c>
      <c r="Q176" s="61">
        <v>0</v>
      </c>
      <c r="R176" s="61">
        <f>INT(Q176*F342)</f>
        <v>0</v>
      </c>
      <c r="S176" s="61">
        <v>0</v>
      </c>
      <c r="T176" s="61">
        <f>INT(S176*F342)</f>
        <v>0</v>
      </c>
      <c r="U176" s="61">
        <v>2714</v>
      </c>
      <c r="V176" s="61">
        <f>INT(U176*F342)</f>
        <v>2918</v>
      </c>
      <c r="W176" s="61">
        <v>0</v>
      </c>
      <c r="X176" s="61">
        <f>INT(W176*F342)</f>
        <v>0</v>
      </c>
      <c r="Y176" s="61">
        <v>0</v>
      </c>
      <c r="Z176" s="61">
        <v>0</v>
      </c>
      <c r="AA176" s="61">
        <v>0</v>
      </c>
      <c r="AB176" s="61">
        <v>0</v>
      </c>
      <c r="AC176" s="61">
        <v>0</v>
      </c>
      <c r="AD176" s="61">
        <v>1</v>
      </c>
      <c r="AE176" s="61">
        <v>0</v>
      </c>
      <c r="AF176" s="61">
        <v>0</v>
      </c>
      <c r="AG176" s="61">
        <v>1</v>
      </c>
      <c r="AH176" s="61">
        <v>0</v>
      </c>
      <c r="AI176" s="61">
        <v>0</v>
      </c>
      <c r="AJ176" s="61"/>
      <c r="AK176" s="61"/>
      <c r="AL176" s="61"/>
      <c r="AM176" s="61"/>
      <c r="AN176" s="61"/>
      <c r="AO176" s="61"/>
      <c r="AP176" s="61" t="s">
        <v>468</v>
      </c>
      <c r="AQ176" s="61">
        <v>6</v>
      </c>
      <c r="AR176" s="61" t="s">
        <v>469</v>
      </c>
      <c r="AS176" s="61">
        <v>1</v>
      </c>
      <c r="AT176" s="61" t="s">
        <v>450</v>
      </c>
      <c r="AU176" s="61" t="s">
        <v>450</v>
      </c>
      <c r="AV176" s="61" t="s">
        <v>450</v>
      </c>
      <c r="AW176" s="61">
        <v>3138</v>
      </c>
      <c r="AX176" s="61">
        <v>0</v>
      </c>
      <c r="AY176" s="61">
        <v>0</v>
      </c>
      <c r="AZ176" s="61">
        <v>0</v>
      </c>
      <c r="BA176" s="61" t="s">
        <v>451</v>
      </c>
      <c r="BB176" s="61" t="s">
        <v>452</v>
      </c>
      <c r="BC176" s="61" t="s">
        <v>453</v>
      </c>
      <c r="BD176" s="61" t="s">
        <v>461</v>
      </c>
      <c r="BE176" s="61" t="s">
        <v>455</v>
      </c>
      <c r="BF176" s="61" t="s">
        <v>456</v>
      </c>
      <c r="BG176" s="61" t="s">
        <v>456</v>
      </c>
      <c r="BH176" s="61" t="s">
        <v>456</v>
      </c>
      <c r="BI176" s="61" t="s">
        <v>456</v>
      </c>
      <c r="BJ176" s="61" t="s">
        <v>456</v>
      </c>
      <c r="BK176" s="61" t="s">
        <v>456</v>
      </c>
      <c r="BL176" s="61" t="s">
        <v>456</v>
      </c>
      <c r="BM176" s="61">
        <v>4483</v>
      </c>
      <c r="BN176" s="61">
        <v>869</v>
      </c>
      <c r="BO176" s="61">
        <v>1692</v>
      </c>
      <c r="BP176" s="61">
        <v>4362</v>
      </c>
      <c r="BQ176" s="61">
        <v>3877</v>
      </c>
      <c r="BR176" s="61">
        <v>0</v>
      </c>
      <c r="BS176" s="61">
        <v>0</v>
      </c>
      <c r="BT176" s="61">
        <v>0</v>
      </c>
      <c r="BU176" s="61">
        <v>0</v>
      </c>
      <c r="BV176" s="61">
        <v>0</v>
      </c>
      <c r="BW176" s="61">
        <v>0</v>
      </c>
      <c r="BX176" s="61">
        <v>0</v>
      </c>
      <c r="BY176" s="61" t="s">
        <v>454</v>
      </c>
      <c r="BZ176" s="61" t="s">
        <v>455</v>
      </c>
      <c r="CA176" s="61" t="s">
        <v>456</v>
      </c>
      <c r="CB176" s="66"/>
      <c r="CC176" s="61">
        <v>2</v>
      </c>
      <c r="CD176" s="61">
        <v>2</v>
      </c>
      <c r="CE176" s="61">
        <v>0</v>
      </c>
      <c r="CF176" s="61"/>
      <c r="CG176" s="61" t="s">
        <v>557</v>
      </c>
    </row>
    <row r="177" s="52" customFormat="1" ht="13.5" spans="1:85">
      <c r="A177" s="61" t="s">
        <v>36</v>
      </c>
      <c r="B177" s="61" t="s">
        <v>759</v>
      </c>
      <c r="C177" s="61">
        <v>12450</v>
      </c>
      <c r="D177" s="61"/>
      <c r="E177" s="61" t="s">
        <v>760</v>
      </c>
      <c r="F177" s="61" t="b">
        <f>IF(COUNTIF(按提示输入属性!D13,E177)&gt;0,TRUE,FALSE)</f>
        <v>0</v>
      </c>
      <c r="G177" s="61"/>
      <c r="H177" s="61"/>
      <c r="I177" s="61"/>
      <c r="J177" s="61"/>
      <c r="K177" s="61">
        <v>609</v>
      </c>
      <c r="L177" s="61">
        <f>INT(K177*F342)</f>
        <v>654</v>
      </c>
      <c r="M177" s="61">
        <v>1185</v>
      </c>
      <c r="N177" s="61">
        <f>INT(M177*F342)</f>
        <v>1274</v>
      </c>
      <c r="O177" s="61">
        <v>3053</v>
      </c>
      <c r="P177" s="61">
        <f>INT(O177*F342)</f>
        <v>3282</v>
      </c>
      <c r="Q177" s="61">
        <v>0</v>
      </c>
      <c r="R177" s="61">
        <f>INT(Q177*F342)</f>
        <v>0</v>
      </c>
      <c r="S177" s="61">
        <v>0</v>
      </c>
      <c r="T177" s="61">
        <f>INT(S177*F342)</f>
        <v>0</v>
      </c>
      <c r="U177" s="61">
        <v>0</v>
      </c>
      <c r="V177" s="61">
        <f>INT(U177*F342)</f>
        <v>0</v>
      </c>
      <c r="W177" s="61">
        <v>2714</v>
      </c>
      <c r="X177" s="61">
        <f>INT(W177*F342)</f>
        <v>2918</v>
      </c>
      <c r="Y177" s="61">
        <v>0</v>
      </c>
      <c r="Z177" s="61">
        <v>0</v>
      </c>
      <c r="AA177" s="61">
        <v>0</v>
      </c>
      <c r="AB177" s="61">
        <v>1</v>
      </c>
      <c r="AC177" s="61">
        <v>0</v>
      </c>
      <c r="AD177" s="61">
        <v>0</v>
      </c>
      <c r="AE177" s="61">
        <v>0</v>
      </c>
      <c r="AF177" s="61">
        <v>0</v>
      </c>
      <c r="AG177" s="61">
        <v>0</v>
      </c>
      <c r="AH177" s="61">
        <v>1</v>
      </c>
      <c r="AI177" s="61">
        <v>0</v>
      </c>
      <c r="AJ177" s="61"/>
      <c r="AK177" s="61"/>
      <c r="AL177" s="61"/>
      <c r="AM177" s="61"/>
      <c r="AN177" s="61"/>
      <c r="AO177" s="61"/>
      <c r="AP177" s="61" t="s">
        <v>460</v>
      </c>
      <c r="AQ177" s="61">
        <v>6</v>
      </c>
      <c r="AR177" s="61" t="s">
        <v>499</v>
      </c>
      <c r="AS177" s="61">
        <v>1</v>
      </c>
      <c r="AT177" s="61" t="s">
        <v>450</v>
      </c>
      <c r="AU177" s="61" t="s">
        <v>450</v>
      </c>
      <c r="AV177" s="61" t="s">
        <v>450</v>
      </c>
      <c r="AW177" s="61">
        <v>3138</v>
      </c>
      <c r="AX177" s="61">
        <v>0</v>
      </c>
      <c r="AY177" s="61">
        <v>0</v>
      </c>
      <c r="AZ177" s="61">
        <v>0</v>
      </c>
      <c r="BA177" s="61" t="s">
        <v>451</v>
      </c>
      <c r="BB177" s="61" t="s">
        <v>452</v>
      </c>
      <c r="BC177" s="61" t="s">
        <v>453</v>
      </c>
      <c r="BD177" s="61" t="s">
        <v>461</v>
      </c>
      <c r="BE177" s="61" t="s">
        <v>455</v>
      </c>
      <c r="BF177" s="61" t="s">
        <v>456</v>
      </c>
      <c r="BG177" s="61" t="s">
        <v>456</v>
      </c>
      <c r="BH177" s="61" t="s">
        <v>456</v>
      </c>
      <c r="BI177" s="61" t="s">
        <v>456</v>
      </c>
      <c r="BJ177" s="61" t="s">
        <v>456</v>
      </c>
      <c r="BK177" s="61" t="s">
        <v>456</v>
      </c>
      <c r="BL177" s="61" t="s">
        <v>456</v>
      </c>
      <c r="BM177" s="61">
        <v>4035</v>
      </c>
      <c r="BN177" s="61">
        <v>782</v>
      </c>
      <c r="BO177" s="61">
        <v>1523</v>
      </c>
      <c r="BP177" s="61">
        <v>3926</v>
      </c>
      <c r="BQ177" s="61">
        <v>3490</v>
      </c>
      <c r="BR177" s="61">
        <v>0</v>
      </c>
      <c r="BS177" s="61">
        <v>0</v>
      </c>
      <c r="BT177" s="61">
        <v>0</v>
      </c>
      <c r="BU177" s="61">
        <v>0</v>
      </c>
      <c r="BV177" s="61">
        <v>0</v>
      </c>
      <c r="BW177" s="61">
        <v>0</v>
      </c>
      <c r="BX177" s="61">
        <v>0</v>
      </c>
      <c r="BY177" s="61" t="s">
        <v>453</v>
      </c>
      <c r="BZ177" s="61" t="s">
        <v>454</v>
      </c>
      <c r="CA177" s="61" t="s">
        <v>456</v>
      </c>
      <c r="CB177" s="66"/>
      <c r="CC177" s="61">
        <v>2</v>
      </c>
      <c r="CD177" s="61">
        <v>2</v>
      </c>
      <c r="CE177" s="61">
        <v>0</v>
      </c>
      <c r="CF177" s="61"/>
      <c r="CG177" s="61" t="s">
        <v>557</v>
      </c>
    </row>
    <row r="178" s="52" customFormat="1" ht="13.5" spans="1:85">
      <c r="A178" s="61" t="s">
        <v>36</v>
      </c>
      <c r="B178" s="61" t="s">
        <v>761</v>
      </c>
      <c r="C178" s="61">
        <v>12300</v>
      </c>
      <c r="D178" s="61"/>
      <c r="E178" s="61" t="s">
        <v>762</v>
      </c>
      <c r="F178" s="61" t="b">
        <f>IF(COUNTIF(按提示输入属性!D13,E178)&gt;0,TRUE,FALSE)</f>
        <v>0</v>
      </c>
      <c r="G178" s="61"/>
      <c r="H178" s="61"/>
      <c r="I178" s="61"/>
      <c r="J178" s="61"/>
      <c r="K178" s="61">
        <v>601</v>
      </c>
      <c r="L178" s="61">
        <f>INT(K178*F342)</f>
        <v>646</v>
      </c>
      <c r="M178" s="61">
        <v>1170</v>
      </c>
      <c r="N178" s="61">
        <f>INT(M178*F342)</f>
        <v>1258</v>
      </c>
      <c r="O178" s="61">
        <v>0</v>
      </c>
      <c r="P178" s="61">
        <f>INT(O178*F342)</f>
        <v>0</v>
      </c>
      <c r="Q178" s="61">
        <v>0</v>
      </c>
      <c r="R178" s="61">
        <f>INT(Q178*F342)</f>
        <v>0</v>
      </c>
      <c r="S178" s="61">
        <v>3017</v>
      </c>
      <c r="T178" s="61">
        <f>INT(S178*F342)</f>
        <v>3243</v>
      </c>
      <c r="U178" s="61">
        <v>0</v>
      </c>
      <c r="V178" s="61">
        <f>INT(U178*F342)</f>
        <v>0</v>
      </c>
      <c r="W178" s="61">
        <v>2681</v>
      </c>
      <c r="X178" s="61">
        <f>INT(W178*F342)</f>
        <v>2882</v>
      </c>
      <c r="Y178" s="61">
        <v>0</v>
      </c>
      <c r="Z178" s="61">
        <v>0</v>
      </c>
      <c r="AA178" s="61">
        <v>0</v>
      </c>
      <c r="AB178" s="61">
        <v>0</v>
      </c>
      <c r="AC178" s="61">
        <v>1</v>
      </c>
      <c r="AD178" s="61">
        <v>0</v>
      </c>
      <c r="AE178" s="61">
        <v>0</v>
      </c>
      <c r="AF178" s="61">
        <v>1</v>
      </c>
      <c r="AG178" s="61">
        <v>0</v>
      </c>
      <c r="AH178" s="61">
        <v>0</v>
      </c>
      <c r="AI178" s="61">
        <v>0</v>
      </c>
      <c r="AJ178" s="61"/>
      <c r="AK178" s="61"/>
      <c r="AL178" s="61">
        <v>1</v>
      </c>
      <c r="AM178" s="61"/>
      <c r="AN178" s="61"/>
      <c r="AO178" s="61"/>
      <c r="AP178" s="61" t="s">
        <v>486</v>
      </c>
      <c r="AQ178" s="61">
        <v>6</v>
      </c>
      <c r="AR178" s="61" t="s">
        <v>529</v>
      </c>
      <c r="AS178" s="61">
        <v>1</v>
      </c>
      <c r="AT178" s="61" t="s">
        <v>450</v>
      </c>
      <c r="AU178" s="61" t="s">
        <v>450</v>
      </c>
      <c r="AV178" s="61" t="s">
        <v>450</v>
      </c>
      <c r="AW178" s="61">
        <v>3100</v>
      </c>
      <c r="AX178" s="61">
        <v>0</v>
      </c>
      <c r="AY178" s="61">
        <v>0</v>
      </c>
      <c r="AZ178" s="61">
        <v>0</v>
      </c>
      <c r="BA178" s="61" t="s">
        <v>451</v>
      </c>
      <c r="BB178" s="61" t="s">
        <v>452</v>
      </c>
      <c r="BC178" s="61" t="s">
        <v>453</v>
      </c>
      <c r="BD178" s="61" t="s">
        <v>461</v>
      </c>
      <c r="BE178" s="61" t="s">
        <v>462</v>
      </c>
      <c r="BF178" s="61" t="s">
        <v>456</v>
      </c>
      <c r="BG178" s="61" t="s">
        <v>456</v>
      </c>
      <c r="BH178" s="61" t="s">
        <v>456</v>
      </c>
      <c r="BI178" s="61" t="s">
        <v>456</v>
      </c>
      <c r="BJ178" s="61" t="s">
        <v>456</v>
      </c>
      <c r="BK178" s="61" t="s">
        <v>456</v>
      </c>
      <c r="BL178" s="61" t="s">
        <v>456</v>
      </c>
      <c r="BM178" s="61">
        <v>4483</v>
      </c>
      <c r="BN178" s="61">
        <v>869</v>
      </c>
      <c r="BO178" s="61">
        <v>1692</v>
      </c>
      <c r="BP178" s="61">
        <v>4362</v>
      </c>
      <c r="BQ178" s="61">
        <v>3877</v>
      </c>
      <c r="BR178" s="61">
        <v>0</v>
      </c>
      <c r="BS178" s="61">
        <v>0</v>
      </c>
      <c r="BT178" s="61">
        <v>0</v>
      </c>
      <c r="BU178" s="61">
        <v>0</v>
      </c>
      <c r="BV178" s="61">
        <v>0</v>
      </c>
      <c r="BW178" s="61">
        <v>0</v>
      </c>
      <c r="BX178" s="61">
        <v>0</v>
      </c>
      <c r="BY178" s="61" t="s">
        <v>461</v>
      </c>
      <c r="BZ178" s="61" t="s">
        <v>572</v>
      </c>
      <c r="CA178" s="61" t="s">
        <v>456</v>
      </c>
      <c r="CB178" s="66"/>
      <c r="CC178" s="61">
        <v>2</v>
      </c>
      <c r="CD178" s="61">
        <v>2</v>
      </c>
      <c r="CE178" s="61">
        <v>0</v>
      </c>
      <c r="CF178" s="61"/>
      <c r="CG178" s="61" t="s">
        <v>557</v>
      </c>
    </row>
    <row r="179" s="52" customFormat="1" ht="13.5" spans="1:85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>
        <f>INT(K179*F342)</f>
        <v>0</v>
      </c>
      <c r="M179" s="61"/>
      <c r="N179" s="61">
        <f>INT(M179*F342)</f>
        <v>0</v>
      </c>
      <c r="O179" s="61"/>
      <c r="P179" s="61">
        <f>INT(O179*F342)</f>
        <v>0</v>
      </c>
      <c r="Q179" s="61"/>
      <c r="R179" s="61">
        <f>INT(Q179*F342)</f>
        <v>0</v>
      </c>
      <c r="S179" s="61"/>
      <c r="T179" s="61">
        <f>INT(S179*F342)</f>
        <v>0</v>
      </c>
      <c r="U179" s="61"/>
      <c r="V179" s="61">
        <f>INT(U179*F342)</f>
        <v>0</v>
      </c>
      <c r="W179" s="61"/>
      <c r="X179" s="61">
        <f>INT(W179*F342)</f>
        <v>0</v>
      </c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6"/>
      <c r="CC179" s="61"/>
      <c r="CD179" s="61"/>
      <c r="CE179" s="61"/>
      <c r="CF179" s="61"/>
      <c r="CG179" s="61"/>
    </row>
    <row r="180" s="52" customFormat="1" ht="13.5" spans="1:85">
      <c r="A180" s="61" t="s">
        <v>26</v>
      </c>
      <c r="B180" s="61" t="s">
        <v>763</v>
      </c>
      <c r="C180" s="61">
        <v>14150</v>
      </c>
      <c r="D180" s="61"/>
      <c r="E180" s="61" t="s">
        <v>764</v>
      </c>
      <c r="F180" s="61" t="b">
        <f>IF(COUNTIF(按提示输入属性!D10,E180)&gt;0,TRUE,FALSE)</f>
        <v>0</v>
      </c>
      <c r="G180" s="61"/>
      <c r="H180" s="61"/>
      <c r="I180" s="61"/>
      <c r="J180" s="61"/>
      <c r="K180" s="61">
        <v>692</v>
      </c>
      <c r="L180" s="61">
        <f>INT(K180*F342)</f>
        <v>744</v>
      </c>
      <c r="M180" s="61">
        <v>1346</v>
      </c>
      <c r="N180" s="61">
        <f>INT(M180*F342)</f>
        <v>1447</v>
      </c>
      <c r="O180" s="61">
        <v>3470</v>
      </c>
      <c r="P180" s="61">
        <f>INT(O180*F342)</f>
        <v>3731</v>
      </c>
      <c r="Q180" s="61">
        <v>0</v>
      </c>
      <c r="R180" s="61">
        <f>INT(Q180*F342)</f>
        <v>0</v>
      </c>
      <c r="S180" s="61">
        <v>0</v>
      </c>
      <c r="T180" s="61">
        <f>INT(S180*F342)</f>
        <v>0</v>
      </c>
      <c r="U180" s="61">
        <v>3085</v>
      </c>
      <c r="V180" s="61">
        <f>INT(U180*F342)</f>
        <v>3317</v>
      </c>
      <c r="W180" s="61">
        <v>0</v>
      </c>
      <c r="X180" s="61">
        <f>INT(W180*F342)</f>
        <v>0</v>
      </c>
      <c r="Y180" s="61">
        <v>0</v>
      </c>
      <c r="Z180" s="61">
        <v>0</v>
      </c>
      <c r="AA180" s="61">
        <v>0</v>
      </c>
      <c r="AB180" s="61">
        <v>0</v>
      </c>
      <c r="AC180" s="61">
        <v>0</v>
      </c>
      <c r="AD180" s="61">
        <v>1</v>
      </c>
      <c r="AE180" s="61">
        <v>1</v>
      </c>
      <c r="AF180" s="61">
        <v>0</v>
      </c>
      <c r="AG180" s="61">
        <v>0</v>
      </c>
      <c r="AH180" s="61">
        <v>0</v>
      </c>
      <c r="AI180" s="61">
        <v>0</v>
      </c>
      <c r="AJ180" s="61"/>
      <c r="AK180" s="61">
        <v>1</v>
      </c>
      <c r="AL180" s="61"/>
      <c r="AM180" s="61"/>
      <c r="AN180" s="61"/>
      <c r="AO180" s="61"/>
      <c r="AP180" s="61" t="s">
        <v>468</v>
      </c>
      <c r="AQ180" s="61">
        <v>6</v>
      </c>
      <c r="AR180" s="61" t="s">
        <v>503</v>
      </c>
      <c r="AS180" s="61">
        <v>1</v>
      </c>
      <c r="AT180" s="61" t="s">
        <v>450</v>
      </c>
      <c r="AU180" s="61" t="s">
        <v>450</v>
      </c>
      <c r="AV180" s="61" t="s">
        <v>450</v>
      </c>
      <c r="AW180" s="61">
        <v>3567</v>
      </c>
      <c r="AX180" s="61">
        <v>0</v>
      </c>
      <c r="AY180" s="61">
        <v>0</v>
      </c>
      <c r="AZ180" s="61">
        <v>0</v>
      </c>
      <c r="BA180" s="61" t="s">
        <v>451</v>
      </c>
      <c r="BB180" s="61" t="s">
        <v>452</v>
      </c>
      <c r="BC180" s="61" t="s">
        <v>453</v>
      </c>
      <c r="BD180" s="61" t="s">
        <v>461</v>
      </c>
      <c r="BE180" s="61" t="s">
        <v>462</v>
      </c>
      <c r="BF180" s="61" t="s">
        <v>456</v>
      </c>
      <c r="BG180" s="61" t="s">
        <v>456</v>
      </c>
      <c r="BH180" s="61" t="s">
        <v>456</v>
      </c>
      <c r="BI180" s="61" t="s">
        <v>456</v>
      </c>
      <c r="BJ180" s="61" t="s">
        <v>456</v>
      </c>
      <c r="BK180" s="61" t="s">
        <v>456</v>
      </c>
      <c r="BL180" s="61" t="s">
        <v>456</v>
      </c>
      <c r="BM180" s="61">
        <v>4035</v>
      </c>
      <c r="BN180" s="61">
        <v>782</v>
      </c>
      <c r="BO180" s="61">
        <v>1523</v>
      </c>
      <c r="BP180" s="61">
        <v>3926</v>
      </c>
      <c r="BQ180" s="61">
        <v>3490</v>
      </c>
      <c r="BR180" s="61">
        <v>0</v>
      </c>
      <c r="BS180" s="61">
        <v>0</v>
      </c>
      <c r="BT180" s="61">
        <v>0</v>
      </c>
      <c r="BU180" s="61">
        <v>0</v>
      </c>
      <c r="BV180" s="61">
        <v>0</v>
      </c>
      <c r="BW180" s="61">
        <v>0</v>
      </c>
      <c r="BX180" s="61">
        <v>0</v>
      </c>
      <c r="BY180" s="61" t="s">
        <v>454</v>
      </c>
      <c r="BZ180" s="61" t="s">
        <v>462</v>
      </c>
      <c r="CA180" s="61" t="s">
        <v>456</v>
      </c>
      <c r="CB180" s="66"/>
      <c r="CC180" s="61">
        <v>2</v>
      </c>
      <c r="CD180" s="61">
        <v>2</v>
      </c>
      <c r="CE180" s="61">
        <v>0</v>
      </c>
      <c r="CF180" s="61"/>
      <c r="CG180" s="61" t="s">
        <v>765</v>
      </c>
    </row>
    <row r="181" s="52" customFormat="1" ht="13.5" spans="1:85">
      <c r="A181" s="61" t="s">
        <v>26</v>
      </c>
      <c r="B181" s="61" t="s">
        <v>766</v>
      </c>
      <c r="C181" s="61">
        <v>13950</v>
      </c>
      <c r="D181" s="61"/>
      <c r="E181" s="61" t="s">
        <v>767</v>
      </c>
      <c r="F181" s="61" t="b">
        <f>IF(COUNTIF(按提示输入属性!D10,E181)&gt;0,TRUE,FALSE)</f>
        <v>0</v>
      </c>
      <c r="G181" s="61"/>
      <c r="H181" s="61"/>
      <c r="I181" s="61"/>
      <c r="J181" s="61"/>
      <c r="K181" s="61">
        <v>682</v>
      </c>
      <c r="L181" s="61">
        <f>INT(K181*F342)</f>
        <v>733</v>
      </c>
      <c r="M181" s="61">
        <v>1327</v>
      </c>
      <c r="N181" s="61">
        <f>INT(M181*F342)</f>
        <v>1426</v>
      </c>
      <c r="O181" s="61">
        <v>0</v>
      </c>
      <c r="P181" s="61">
        <f>INT(O181*F342)</f>
        <v>0</v>
      </c>
      <c r="Q181" s="61">
        <v>0</v>
      </c>
      <c r="R181" s="61">
        <f>INT(Q181*F342)</f>
        <v>0</v>
      </c>
      <c r="S181" s="61">
        <v>3421</v>
      </c>
      <c r="T181" s="61">
        <f>INT(S181*F342)</f>
        <v>3678</v>
      </c>
      <c r="U181" s="61">
        <v>0</v>
      </c>
      <c r="V181" s="61">
        <f>INT(U181*F342)</f>
        <v>0</v>
      </c>
      <c r="W181" s="61">
        <v>3041</v>
      </c>
      <c r="X181" s="61">
        <f>INT(W181*F342)</f>
        <v>3269</v>
      </c>
      <c r="Y181" s="61">
        <v>0</v>
      </c>
      <c r="Z181" s="61">
        <v>0</v>
      </c>
      <c r="AA181" s="61">
        <v>0</v>
      </c>
      <c r="AB181" s="61">
        <v>0</v>
      </c>
      <c r="AC181" s="61">
        <v>0</v>
      </c>
      <c r="AD181" s="61">
        <v>1</v>
      </c>
      <c r="AE181" s="61">
        <v>0</v>
      </c>
      <c r="AF181" s="61">
        <v>0</v>
      </c>
      <c r="AG181" s="61">
        <v>0</v>
      </c>
      <c r="AH181" s="61">
        <v>1</v>
      </c>
      <c r="AI181" s="61">
        <v>0</v>
      </c>
      <c r="AJ181" s="61"/>
      <c r="AK181" s="61"/>
      <c r="AL181" s="61"/>
      <c r="AM181" s="61"/>
      <c r="AN181" s="61"/>
      <c r="AO181" s="61"/>
      <c r="AP181" s="61" t="s">
        <v>486</v>
      </c>
      <c r="AQ181" s="61">
        <v>6</v>
      </c>
      <c r="AR181" s="61" t="s">
        <v>449</v>
      </c>
      <c r="AS181" s="61">
        <v>1</v>
      </c>
      <c r="AT181" s="61" t="s">
        <v>450</v>
      </c>
      <c r="AU181" s="61" t="s">
        <v>450</v>
      </c>
      <c r="AV181" s="61" t="s">
        <v>450</v>
      </c>
      <c r="AW181" s="61">
        <v>3516</v>
      </c>
      <c r="AX181" s="61">
        <v>0</v>
      </c>
      <c r="AY181" s="61">
        <v>0</v>
      </c>
      <c r="AZ181" s="61">
        <v>0</v>
      </c>
      <c r="BA181" s="61" t="s">
        <v>451</v>
      </c>
      <c r="BB181" s="61" t="s">
        <v>452</v>
      </c>
      <c r="BC181" s="61" t="s">
        <v>453</v>
      </c>
      <c r="BD181" s="61" t="s">
        <v>454</v>
      </c>
      <c r="BE181" s="61" t="s">
        <v>455</v>
      </c>
      <c r="BF181" s="61" t="s">
        <v>456</v>
      </c>
      <c r="BG181" s="61" t="s">
        <v>456</v>
      </c>
      <c r="BH181" s="61" t="s">
        <v>456</v>
      </c>
      <c r="BI181" s="61" t="s">
        <v>456</v>
      </c>
      <c r="BJ181" s="61" t="s">
        <v>456</v>
      </c>
      <c r="BK181" s="61" t="s">
        <v>456</v>
      </c>
      <c r="BL181" s="61" t="s">
        <v>456</v>
      </c>
      <c r="BM181" s="61">
        <v>4483</v>
      </c>
      <c r="BN181" s="61">
        <v>869</v>
      </c>
      <c r="BO181" s="61">
        <v>1692</v>
      </c>
      <c r="BP181" s="61">
        <v>4362</v>
      </c>
      <c r="BQ181" s="61">
        <v>3877</v>
      </c>
      <c r="BR181" s="61">
        <v>0</v>
      </c>
      <c r="BS181" s="61">
        <v>0</v>
      </c>
      <c r="BT181" s="61">
        <v>0</v>
      </c>
      <c r="BU181" s="61">
        <v>0</v>
      </c>
      <c r="BV181" s="61">
        <v>0</v>
      </c>
      <c r="BW181" s="61">
        <v>0</v>
      </c>
      <c r="BX181" s="61">
        <v>0</v>
      </c>
      <c r="BY181" s="61" t="s">
        <v>452</v>
      </c>
      <c r="BZ181" s="61" t="s">
        <v>461</v>
      </c>
      <c r="CA181" s="61" t="s">
        <v>456</v>
      </c>
      <c r="CB181" s="66"/>
      <c r="CC181" s="61">
        <v>2</v>
      </c>
      <c r="CD181" s="61">
        <v>2</v>
      </c>
      <c r="CE181" s="61">
        <v>0</v>
      </c>
      <c r="CF181" s="61"/>
      <c r="CG181" s="61" t="s">
        <v>765</v>
      </c>
    </row>
    <row r="182" s="52" customFormat="1" ht="13.5" spans="1:85">
      <c r="A182" s="61" t="s">
        <v>26</v>
      </c>
      <c r="B182" s="61" t="s">
        <v>768</v>
      </c>
      <c r="C182" s="61">
        <v>13950</v>
      </c>
      <c r="D182" s="61"/>
      <c r="E182" s="61" t="s">
        <v>769</v>
      </c>
      <c r="F182" s="61" t="b">
        <f>IF(COUNTIF(按提示输入属性!D10,E182)&gt;0,TRUE,FALSE)</f>
        <v>0</v>
      </c>
      <c r="G182" s="61"/>
      <c r="H182" s="61"/>
      <c r="I182" s="61"/>
      <c r="J182" s="61"/>
      <c r="K182" s="61">
        <v>682</v>
      </c>
      <c r="L182" s="61">
        <f>INT(K182*F342)</f>
        <v>733</v>
      </c>
      <c r="M182" s="61">
        <v>1327</v>
      </c>
      <c r="N182" s="61">
        <f>INT(M182*F342)</f>
        <v>1426</v>
      </c>
      <c r="O182" s="61">
        <v>0</v>
      </c>
      <c r="P182" s="61">
        <f>INT(O182*F342)</f>
        <v>0</v>
      </c>
      <c r="Q182" s="61">
        <v>0</v>
      </c>
      <c r="R182" s="61">
        <f>INT(Q182*F342)</f>
        <v>0</v>
      </c>
      <c r="S182" s="61">
        <v>0</v>
      </c>
      <c r="T182" s="61">
        <f>INT(S182*F342)</f>
        <v>0</v>
      </c>
      <c r="U182" s="61">
        <v>3041</v>
      </c>
      <c r="V182" s="61">
        <f>INT(U182*F342)</f>
        <v>3269</v>
      </c>
      <c r="W182" s="61">
        <v>0</v>
      </c>
      <c r="X182" s="61">
        <f>INT(W182*F342)</f>
        <v>0</v>
      </c>
      <c r="Y182" s="61">
        <v>3421</v>
      </c>
      <c r="Z182" s="61">
        <v>0</v>
      </c>
      <c r="AA182" s="61">
        <v>0</v>
      </c>
      <c r="AB182" s="61">
        <v>0</v>
      </c>
      <c r="AC182" s="61">
        <v>1</v>
      </c>
      <c r="AD182" s="61">
        <v>1</v>
      </c>
      <c r="AE182" s="61">
        <v>0</v>
      </c>
      <c r="AF182" s="61">
        <v>0</v>
      </c>
      <c r="AG182" s="61">
        <v>0</v>
      </c>
      <c r="AH182" s="61">
        <v>0</v>
      </c>
      <c r="AI182" s="61">
        <v>0</v>
      </c>
      <c r="AJ182" s="61"/>
      <c r="AK182" s="61"/>
      <c r="AL182" s="61"/>
      <c r="AM182" s="61"/>
      <c r="AN182" s="61"/>
      <c r="AO182" s="61"/>
      <c r="AP182" s="61" t="s">
        <v>448</v>
      </c>
      <c r="AQ182" s="61">
        <v>6</v>
      </c>
      <c r="AR182" s="61" t="s">
        <v>449</v>
      </c>
      <c r="AS182" s="61">
        <v>1</v>
      </c>
      <c r="AT182" s="61" t="s">
        <v>450</v>
      </c>
      <c r="AU182" s="61" t="s">
        <v>450</v>
      </c>
      <c r="AV182" s="61" t="s">
        <v>450</v>
      </c>
      <c r="AW182" s="61">
        <v>3516</v>
      </c>
      <c r="AX182" s="61">
        <v>0</v>
      </c>
      <c r="AY182" s="61">
        <v>0</v>
      </c>
      <c r="AZ182" s="61">
        <v>0</v>
      </c>
      <c r="BA182" s="61" t="s">
        <v>451</v>
      </c>
      <c r="BB182" s="61" t="s">
        <v>452</v>
      </c>
      <c r="BC182" s="61" t="s">
        <v>656</v>
      </c>
      <c r="BD182" s="61" t="s">
        <v>657</v>
      </c>
      <c r="BE182" s="61" t="s">
        <v>455</v>
      </c>
      <c r="BF182" s="61" t="s">
        <v>456</v>
      </c>
      <c r="BG182" s="61" t="s">
        <v>456</v>
      </c>
      <c r="BH182" s="61" t="s">
        <v>456</v>
      </c>
      <c r="BI182" s="61" t="s">
        <v>456</v>
      </c>
      <c r="BJ182" s="61" t="s">
        <v>456</v>
      </c>
      <c r="BK182" s="61" t="s">
        <v>456</v>
      </c>
      <c r="BL182" s="61" t="s">
        <v>456</v>
      </c>
      <c r="BM182" s="61">
        <v>3100</v>
      </c>
      <c r="BN182" s="61">
        <v>601</v>
      </c>
      <c r="BO182" s="61">
        <v>1170</v>
      </c>
      <c r="BP182" s="61">
        <v>3017</v>
      </c>
      <c r="BQ182" s="61">
        <v>2681</v>
      </c>
      <c r="BR182" s="61">
        <v>0</v>
      </c>
      <c r="BS182" s="61">
        <v>0</v>
      </c>
      <c r="BT182" s="61">
        <v>0</v>
      </c>
      <c r="BU182" s="61">
        <v>0</v>
      </c>
      <c r="BV182" s="61">
        <v>0</v>
      </c>
      <c r="BW182" s="61">
        <v>0</v>
      </c>
      <c r="BX182" s="61">
        <v>0</v>
      </c>
      <c r="BY182" s="61" t="s">
        <v>452</v>
      </c>
      <c r="BZ182" s="61" t="s">
        <v>656</v>
      </c>
      <c r="CA182" s="61" t="s">
        <v>456</v>
      </c>
      <c r="CB182" s="66"/>
      <c r="CC182" s="61">
        <v>2</v>
      </c>
      <c r="CD182" s="61">
        <v>2</v>
      </c>
      <c r="CE182" s="61">
        <v>0</v>
      </c>
      <c r="CF182" s="61"/>
      <c r="CG182" s="61" t="s">
        <v>658</v>
      </c>
    </row>
    <row r="183" s="53" customFormat="1" ht="13.5" spans="1:85">
      <c r="A183" s="62" t="s">
        <v>26</v>
      </c>
      <c r="B183" s="62" t="s">
        <v>770</v>
      </c>
      <c r="C183" s="62">
        <v>13950</v>
      </c>
      <c r="D183" s="62"/>
      <c r="E183" s="62" t="s">
        <v>771</v>
      </c>
      <c r="F183" s="62" t="b">
        <f>IF(COUNTIF(按提示输入属性!D10,E183)&gt;0,TRUE,FALSE)</f>
        <v>0</v>
      </c>
      <c r="G183" s="62"/>
      <c r="H183" s="62"/>
      <c r="I183" s="62"/>
      <c r="J183" s="62"/>
      <c r="K183" s="62">
        <v>0</v>
      </c>
      <c r="L183" s="62">
        <f>INT(K183*F342)</f>
        <v>0</v>
      </c>
      <c r="M183" s="62">
        <v>3472</v>
      </c>
      <c r="N183" s="62">
        <f>INT(M183*F344)</f>
        <v>3555</v>
      </c>
      <c r="O183" s="62">
        <v>6748</v>
      </c>
      <c r="P183" s="62">
        <f>INT(O183*F344)</f>
        <v>6910</v>
      </c>
      <c r="Q183" s="62">
        <v>0</v>
      </c>
      <c r="R183" s="62">
        <f>INT(Q183*F344)</f>
        <v>0</v>
      </c>
      <c r="S183" s="62">
        <v>0</v>
      </c>
      <c r="T183" s="62">
        <f>INT(S183*F344)</f>
        <v>0</v>
      </c>
      <c r="U183" s="62">
        <v>0</v>
      </c>
      <c r="V183" s="62">
        <f>INT(U183*F344)</f>
        <v>0</v>
      </c>
      <c r="W183" s="62">
        <v>0</v>
      </c>
      <c r="X183" s="62">
        <f>INT(W183*F344)</f>
        <v>0</v>
      </c>
      <c r="Y183" s="62">
        <v>0</v>
      </c>
      <c r="Z183" s="62">
        <v>0</v>
      </c>
      <c r="AA183" s="62">
        <v>0</v>
      </c>
      <c r="AB183" s="62">
        <v>0</v>
      </c>
      <c r="AC183" s="62">
        <v>0</v>
      </c>
      <c r="AD183" s="62">
        <v>1</v>
      </c>
      <c r="AE183" s="62">
        <v>1</v>
      </c>
      <c r="AF183" s="62">
        <v>0</v>
      </c>
      <c r="AG183" s="62">
        <v>0</v>
      </c>
      <c r="AH183" s="62">
        <v>0</v>
      </c>
      <c r="AI183" s="62">
        <v>0</v>
      </c>
      <c r="AJ183" s="62"/>
      <c r="AK183" s="62"/>
      <c r="AL183" s="62"/>
      <c r="AM183" s="62"/>
      <c r="AN183" s="62"/>
      <c r="AO183" s="62"/>
      <c r="AP183" s="62" t="s">
        <v>472</v>
      </c>
      <c r="AQ183" s="62">
        <v>3</v>
      </c>
      <c r="AR183" s="62" t="s">
        <v>449</v>
      </c>
      <c r="AS183" s="62">
        <v>1</v>
      </c>
      <c r="AT183" s="62" t="s">
        <v>450</v>
      </c>
      <c r="AU183" s="62" t="s">
        <v>450</v>
      </c>
      <c r="AV183" s="62" t="s">
        <v>450</v>
      </c>
      <c r="AW183" s="62">
        <v>0</v>
      </c>
      <c r="AX183" s="62">
        <v>0</v>
      </c>
      <c r="AY183" s="62">
        <v>0</v>
      </c>
      <c r="AZ183" s="62">
        <v>0</v>
      </c>
      <c r="BA183" s="62" t="s">
        <v>451</v>
      </c>
      <c r="BB183" s="62" t="s">
        <v>452</v>
      </c>
      <c r="BC183" s="62" t="s">
        <v>656</v>
      </c>
      <c r="BD183" s="62" t="s">
        <v>657</v>
      </c>
      <c r="BE183" s="62" t="s">
        <v>462</v>
      </c>
      <c r="BF183" s="62" t="s">
        <v>456</v>
      </c>
      <c r="BG183" s="62" t="s">
        <v>456</v>
      </c>
      <c r="BH183" s="62" t="s">
        <v>456</v>
      </c>
      <c r="BI183" s="62" t="s">
        <v>456</v>
      </c>
      <c r="BJ183" s="62" t="s">
        <v>456</v>
      </c>
      <c r="BK183" s="62" t="s">
        <v>456</v>
      </c>
      <c r="BL183" s="62" t="s">
        <v>456</v>
      </c>
      <c r="BM183" s="62">
        <v>3100</v>
      </c>
      <c r="BN183" s="62">
        <v>601</v>
      </c>
      <c r="BO183" s="62">
        <v>1170</v>
      </c>
      <c r="BP183" s="62">
        <v>3017</v>
      </c>
      <c r="BQ183" s="62">
        <v>2681</v>
      </c>
      <c r="BR183" s="62">
        <v>0</v>
      </c>
      <c r="BS183" s="62">
        <v>0</v>
      </c>
      <c r="BT183" s="62">
        <v>0</v>
      </c>
      <c r="BU183" s="62">
        <v>0</v>
      </c>
      <c r="BV183" s="62">
        <v>0</v>
      </c>
      <c r="BW183" s="62">
        <v>0</v>
      </c>
      <c r="BX183" s="62">
        <v>0</v>
      </c>
      <c r="BY183" s="62" t="s">
        <v>657</v>
      </c>
      <c r="BZ183" s="62" t="s">
        <v>656</v>
      </c>
      <c r="CA183" s="62" t="s">
        <v>456</v>
      </c>
      <c r="CB183" s="64"/>
      <c r="CC183" s="62">
        <v>2</v>
      </c>
      <c r="CD183" s="62">
        <v>2</v>
      </c>
      <c r="CE183" s="62">
        <v>0</v>
      </c>
      <c r="CF183" s="62"/>
      <c r="CG183" s="62" t="s">
        <v>658</v>
      </c>
    </row>
    <row r="184" s="53" customFormat="1" ht="13.5" spans="1:85">
      <c r="A184" s="62" t="s">
        <v>26</v>
      </c>
      <c r="B184" s="62" t="s">
        <v>772</v>
      </c>
      <c r="C184" s="62">
        <v>13950</v>
      </c>
      <c r="D184" s="62"/>
      <c r="E184" s="62" t="s">
        <v>773</v>
      </c>
      <c r="F184" s="62" t="b">
        <f>IF(COUNTIF(按提示输入属性!D10,E184)&gt;0,TRUE,FALSE)</f>
        <v>0</v>
      </c>
      <c r="G184" s="62"/>
      <c r="H184" s="62"/>
      <c r="I184" s="62"/>
      <c r="J184" s="62"/>
      <c r="K184" s="62">
        <v>0</v>
      </c>
      <c r="L184" s="62">
        <f>INT(K184*F342)</f>
        <v>0</v>
      </c>
      <c r="M184" s="62">
        <v>2961</v>
      </c>
      <c r="N184" s="62">
        <f>INT(M184*F344)</f>
        <v>3032</v>
      </c>
      <c r="O184" s="62">
        <v>0</v>
      </c>
      <c r="P184" s="61">
        <f>INT(O184*F344)</f>
        <v>0</v>
      </c>
      <c r="Q184" s="62">
        <v>0</v>
      </c>
      <c r="R184" s="61">
        <f>INT(Q184*F344)</f>
        <v>0</v>
      </c>
      <c r="S184" s="62">
        <v>3991</v>
      </c>
      <c r="T184" s="61">
        <f>INT(S184*F344)</f>
        <v>4087</v>
      </c>
      <c r="U184" s="62">
        <v>3801</v>
      </c>
      <c r="V184" s="61">
        <f>INT(U184*F344)</f>
        <v>3892</v>
      </c>
      <c r="W184" s="62">
        <v>0</v>
      </c>
      <c r="X184" s="61">
        <f>INT(W184*F344)</f>
        <v>0</v>
      </c>
      <c r="Y184" s="62">
        <v>0</v>
      </c>
      <c r="Z184" s="62">
        <v>0</v>
      </c>
      <c r="AA184" s="62">
        <v>0</v>
      </c>
      <c r="AB184" s="62">
        <v>0</v>
      </c>
      <c r="AC184" s="62">
        <v>0</v>
      </c>
      <c r="AD184" s="62">
        <v>1</v>
      </c>
      <c r="AE184" s="62">
        <v>0</v>
      </c>
      <c r="AF184" s="62">
        <v>0</v>
      </c>
      <c r="AG184" s="62">
        <v>1</v>
      </c>
      <c r="AH184" s="62">
        <v>0</v>
      </c>
      <c r="AI184" s="62">
        <v>0</v>
      </c>
      <c r="AJ184" s="62"/>
      <c r="AK184" s="62"/>
      <c r="AL184" s="62"/>
      <c r="AM184" s="62"/>
      <c r="AN184" s="62"/>
      <c r="AO184" s="62"/>
      <c r="AP184" s="62" t="s">
        <v>475</v>
      </c>
      <c r="AQ184" s="62">
        <v>3</v>
      </c>
      <c r="AR184" s="62" t="s">
        <v>449</v>
      </c>
      <c r="AS184" s="62">
        <v>1</v>
      </c>
      <c r="AT184" s="62" t="s">
        <v>450</v>
      </c>
      <c r="AU184" s="62" t="s">
        <v>450</v>
      </c>
      <c r="AV184" s="62" t="s">
        <v>450</v>
      </c>
      <c r="AW184" s="62">
        <v>0</v>
      </c>
      <c r="AX184" s="62">
        <v>0</v>
      </c>
      <c r="AY184" s="62">
        <v>0</v>
      </c>
      <c r="AZ184" s="62">
        <v>0</v>
      </c>
      <c r="BA184" s="62" t="s">
        <v>451</v>
      </c>
      <c r="BB184" s="62" t="s">
        <v>452</v>
      </c>
      <c r="BC184" s="62" t="s">
        <v>656</v>
      </c>
      <c r="BD184" s="62" t="s">
        <v>663</v>
      </c>
      <c r="BE184" s="62" t="s">
        <v>462</v>
      </c>
      <c r="BF184" s="62" t="s">
        <v>456</v>
      </c>
      <c r="BG184" s="62" t="s">
        <v>456</v>
      </c>
      <c r="BH184" s="62" t="s">
        <v>456</v>
      </c>
      <c r="BI184" s="62" t="s">
        <v>456</v>
      </c>
      <c r="BJ184" s="62" t="s">
        <v>456</v>
      </c>
      <c r="BK184" s="62" t="s">
        <v>456</v>
      </c>
      <c r="BL184" s="62" t="s">
        <v>456</v>
      </c>
      <c r="BM184" s="62">
        <v>3100</v>
      </c>
      <c r="BN184" s="62">
        <v>601</v>
      </c>
      <c r="BO184" s="62">
        <v>1170</v>
      </c>
      <c r="BP184" s="62">
        <v>3017</v>
      </c>
      <c r="BQ184" s="62">
        <v>2681</v>
      </c>
      <c r="BR184" s="62">
        <v>0</v>
      </c>
      <c r="BS184" s="62">
        <v>0</v>
      </c>
      <c r="BT184" s="62">
        <v>0</v>
      </c>
      <c r="BU184" s="62">
        <v>0</v>
      </c>
      <c r="BV184" s="62">
        <v>0</v>
      </c>
      <c r="BW184" s="62">
        <v>0</v>
      </c>
      <c r="BX184" s="62">
        <v>0</v>
      </c>
      <c r="BY184" s="62" t="s">
        <v>656</v>
      </c>
      <c r="BZ184" s="62" t="s">
        <v>663</v>
      </c>
      <c r="CA184" s="62" t="s">
        <v>456</v>
      </c>
      <c r="CB184" s="64"/>
      <c r="CC184" s="62">
        <v>2</v>
      </c>
      <c r="CD184" s="62">
        <v>2</v>
      </c>
      <c r="CE184" s="62">
        <v>0</v>
      </c>
      <c r="CF184" s="62"/>
      <c r="CG184" s="62" t="s">
        <v>658</v>
      </c>
    </row>
    <row r="185" s="53" customFormat="1" ht="13.5" spans="1:85">
      <c r="A185" s="62" t="s">
        <v>26</v>
      </c>
      <c r="B185" s="62" t="s">
        <v>774</v>
      </c>
      <c r="C185" s="62">
        <v>13950</v>
      </c>
      <c r="D185" s="62"/>
      <c r="E185" s="62" t="s">
        <v>775</v>
      </c>
      <c r="F185" s="62" t="b">
        <f>IF(COUNTIF(按提示输入属性!D10,E185)&gt;0,TRUE,FALSE)</f>
        <v>0</v>
      </c>
      <c r="G185" s="62"/>
      <c r="H185" s="62"/>
      <c r="I185" s="62"/>
      <c r="J185" s="62"/>
      <c r="K185" s="62">
        <v>0</v>
      </c>
      <c r="L185" s="62">
        <f>INT(K185*F342)</f>
        <v>0</v>
      </c>
      <c r="M185" s="62">
        <v>2961</v>
      </c>
      <c r="N185" s="62">
        <f>INT(M185*F344)</f>
        <v>3032</v>
      </c>
      <c r="O185" s="62">
        <v>3611</v>
      </c>
      <c r="P185" s="62">
        <f>INT(O185*F344)</f>
        <v>3698</v>
      </c>
      <c r="Q185" s="62">
        <v>0</v>
      </c>
      <c r="R185" s="62">
        <f>INT(Q185*F344)</f>
        <v>0</v>
      </c>
      <c r="S185" s="62">
        <v>0</v>
      </c>
      <c r="T185" s="62">
        <f>INT(S185*F344)</f>
        <v>0</v>
      </c>
      <c r="U185" s="62">
        <v>2091</v>
      </c>
      <c r="V185" s="62">
        <f>INT(U185*F344)</f>
        <v>2141</v>
      </c>
      <c r="W185" s="62">
        <v>2091</v>
      </c>
      <c r="X185" s="62">
        <f>INT(W185*F344)</f>
        <v>2141</v>
      </c>
      <c r="Y185" s="62">
        <v>0</v>
      </c>
      <c r="Z185" s="62">
        <v>0</v>
      </c>
      <c r="AA185" s="62">
        <v>0</v>
      </c>
      <c r="AB185" s="62">
        <v>0</v>
      </c>
      <c r="AC185" s="62">
        <v>0</v>
      </c>
      <c r="AD185" s="62">
        <v>0</v>
      </c>
      <c r="AE185" s="62">
        <v>0</v>
      </c>
      <c r="AF185" s="62">
        <v>1</v>
      </c>
      <c r="AG185" s="62">
        <v>0</v>
      </c>
      <c r="AH185" s="62">
        <v>1</v>
      </c>
      <c r="AI185" s="62">
        <v>0</v>
      </c>
      <c r="AJ185" s="62"/>
      <c r="AK185" s="62"/>
      <c r="AL185" s="62"/>
      <c r="AM185" s="62"/>
      <c r="AN185" s="62"/>
      <c r="AO185" s="62"/>
      <c r="AP185" s="62" t="s">
        <v>720</v>
      </c>
      <c r="AQ185" s="62">
        <v>3</v>
      </c>
      <c r="AR185" s="62" t="s">
        <v>449</v>
      </c>
      <c r="AS185" s="62">
        <v>1</v>
      </c>
      <c r="AT185" s="62" t="s">
        <v>450</v>
      </c>
      <c r="AU185" s="62" t="s">
        <v>450</v>
      </c>
      <c r="AV185" s="62" t="s">
        <v>450</v>
      </c>
      <c r="AW185" s="62">
        <v>0</v>
      </c>
      <c r="AX185" s="62">
        <v>0</v>
      </c>
      <c r="AY185" s="62">
        <v>0</v>
      </c>
      <c r="AZ185" s="62">
        <v>0</v>
      </c>
      <c r="BA185" s="62" t="s">
        <v>451</v>
      </c>
      <c r="BB185" s="62" t="s">
        <v>452</v>
      </c>
      <c r="BC185" s="62" t="s">
        <v>656</v>
      </c>
      <c r="BD185" s="62" t="s">
        <v>663</v>
      </c>
      <c r="BE185" s="62" t="s">
        <v>455</v>
      </c>
      <c r="BF185" s="62" t="s">
        <v>456</v>
      </c>
      <c r="BG185" s="62" t="s">
        <v>456</v>
      </c>
      <c r="BH185" s="62" t="s">
        <v>456</v>
      </c>
      <c r="BI185" s="62" t="s">
        <v>456</v>
      </c>
      <c r="BJ185" s="62" t="s">
        <v>456</v>
      </c>
      <c r="BK185" s="62" t="s">
        <v>456</v>
      </c>
      <c r="BL185" s="62" t="s">
        <v>456</v>
      </c>
      <c r="BM185" s="62">
        <v>3986</v>
      </c>
      <c r="BN185" s="62">
        <v>773</v>
      </c>
      <c r="BO185" s="62">
        <v>1505</v>
      </c>
      <c r="BP185" s="62">
        <v>3879</v>
      </c>
      <c r="BQ185" s="62">
        <v>3448</v>
      </c>
      <c r="BR185" s="62">
        <v>0</v>
      </c>
      <c r="BS185" s="62">
        <v>0</v>
      </c>
      <c r="BT185" s="62">
        <v>0</v>
      </c>
      <c r="BU185" s="62">
        <v>0</v>
      </c>
      <c r="BV185" s="62">
        <v>0</v>
      </c>
      <c r="BW185" s="62">
        <v>0</v>
      </c>
      <c r="BX185" s="62">
        <v>0</v>
      </c>
      <c r="BY185" s="62" t="s">
        <v>452</v>
      </c>
      <c r="BZ185" s="62" t="s">
        <v>656</v>
      </c>
      <c r="CA185" s="62" t="s">
        <v>456</v>
      </c>
      <c r="CB185" s="64"/>
      <c r="CC185" s="62">
        <v>2</v>
      </c>
      <c r="CD185" s="62">
        <v>2</v>
      </c>
      <c r="CE185" s="62">
        <v>0</v>
      </c>
      <c r="CF185" s="62"/>
      <c r="CG185" s="62" t="s">
        <v>658</v>
      </c>
    </row>
    <row r="186" s="53" customFormat="1" ht="13.5" spans="1:85">
      <c r="A186" s="62" t="s">
        <v>26</v>
      </c>
      <c r="B186" s="62" t="s">
        <v>776</v>
      </c>
      <c r="C186" s="62">
        <v>13950</v>
      </c>
      <c r="D186" s="62"/>
      <c r="E186" s="62" t="s">
        <v>777</v>
      </c>
      <c r="F186" s="62" t="b">
        <f>IF(COUNTIF(按提示输入属性!D10,E186)&gt;0,TRUE,FALSE)</f>
        <v>0</v>
      </c>
      <c r="G186" s="62"/>
      <c r="H186" s="62"/>
      <c r="I186" s="62"/>
      <c r="J186" s="62"/>
      <c r="K186" s="62">
        <v>0</v>
      </c>
      <c r="L186" s="62">
        <f>INT(K186*F342)</f>
        <v>0</v>
      </c>
      <c r="M186" s="62">
        <v>3472</v>
      </c>
      <c r="N186" s="62">
        <f>INT(M186*F344)</f>
        <v>3555</v>
      </c>
      <c r="O186" s="62">
        <v>0</v>
      </c>
      <c r="P186" s="61">
        <f>INT(O186*F344)</f>
        <v>0</v>
      </c>
      <c r="Q186" s="62">
        <v>0</v>
      </c>
      <c r="R186" s="61">
        <f>INT(Q186*F344)</f>
        <v>0</v>
      </c>
      <c r="S186" s="62">
        <v>0</v>
      </c>
      <c r="T186" s="61">
        <f>INT(S186*F344)</f>
        <v>0</v>
      </c>
      <c r="U186" s="62">
        <v>0</v>
      </c>
      <c r="V186" s="61">
        <f>INT(U186*F344)</f>
        <v>0</v>
      </c>
      <c r="W186" s="62">
        <v>6748</v>
      </c>
      <c r="X186" s="61">
        <f>INT(W186*F344)</f>
        <v>6910</v>
      </c>
      <c r="Y186" s="62">
        <v>0</v>
      </c>
      <c r="Z186" s="62">
        <v>0</v>
      </c>
      <c r="AA186" s="62">
        <v>0</v>
      </c>
      <c r="AB186" s="62">
        <v>0</v>
      </c>
      <c r="AC186" s="62">
        <v>0</v>
      </c>
      <c r="AD186" s="62">
        <v>1</v>
      </c>
      <c r="AE186" s="62">
        <v>0</v>
      </c>
      <c r="AF186" s="62">
        <v>0</v>
      </c>
      <c r="AG186" s="62">
        <v>0</v>
      </c>
      <c r="AH186" s="62">
        <v>1</v>
      </c>
      <c r="AI186" s="62">
        <v>0</v>
      </c>
      <c r="AJ186" s="62"/>
      <c r="AK186" s="62"/>
      <c r="AL186" s="62"/>
      <c r="AM186" s="62"/>
      <c r="AN186" s="62"/>
      <c r="AO186" s="62"/>
      <c r="AP186" s="62" t="s">
        <v>568</v>
      </c>
      <c r="AQ186" s="62">
        <v>3</v>
      </c>
      <c r="AR186" s="62" t="s">
        <v>449</v>
      </c>
      <c r="AS186" s="62">
        <v>1</v>
      </c>
      <c r="AT186" s="62" t="s">
        <v>450</v>
      </c>
      <c r="AU186" s="62" t="s">
        <v>450</v>
      </c>
      <c r="AV186" s="62" t="s">
        <v>450</v>
      </c>
      <c r="AW186" s="62">
        <v>0</v>
      </c>
      <c r="AX186" s="62">
        <v>0</v>
      </c>
      <c r="AY186" s="62">
        <v>0</v>
      </c>
      <c r="AZ186" s="62">
        <v>0</v>
      </c>
      <c r="BA186" s="62" t="s">
        <v>451</v>
      </c>
      <c r="BB186" s="62" t="s">
        <v>452</v>
      </c>
      <c r="BC186" s="62" t="s">
        <v>656</v>
      </c>
      <c r="BD186" s="62" t="s">
        <v>657</v>
      </c>
      <c r="BE186" s="62" t="s">
        <v>462</v>
      </c>
      <c r="BF186" s="62" t="s">
        <v>456</v>
      </c>
      <c r="BG186" s="62" t="s">
        <v>456</v>
      </c>
      <c r="BH186" s="62" t="s">
        <v>456</v>
      </c>
      <c r="BI186" s="62" t="s">
        <v>456</v>
      </c>
      <c r="BJ186" s="62" t="s">
        <v>456</v>
      </c>
      <c r="BK186" s="62" t="s">
        <v>456</v>
      </c>
      <c r="BL186" s="62" t="s">
        <v>456</v>
      </c>
      <c r="BM186" s="62">
        <v>4429</v>
      </c>
      <c r="BN186" s="62">
        <v>859</v>
      </c>
      <c r="BO186" s="62">
        <v>1672</v>
      </c>
      <c r="BP186" s="62">
        <v>4309</v>
      </c>
      <c r="BQ186" s="62">
        <v>3831</v>
      </c>
      <c r="BR186" s="62">
        <v>0</v>
      </c>
      <c r="BS186" s="62">
        <v>0</v>
      </c>
      <c r="BT186" s="62">
        <v>0</v>
      </c>
      <c r="BU186" s="62">
        <v>0</v>
      </c>
      <c r="BV186" s="62">
        <v>0</v>
      </c>
      <c r="BW186" s="62">
        <v>0</v>
      </c>
      <c r="BX186" s="62">
        <v>0</v>
      </c>
      <c r="BY186" s="62" t="s">
        <v>657</v>
      </c>
      <c r="BZ186" s="62" t="s">
        <v>667</v>
      </c>
      <c r="CA186" s="62" t="s">
        <v>456</v>
      </c>
      <c r="CB186" s="64"/>
      <c r="CC186" s="62">
        <v>2</v>
      </c>
      <c r="CD186" s="62">
        <v>2</v>
      </c>
      <c r="CE186" s="62">
        <v>0</v>
      </c>
      <c r="CF186" s="62"/>
      <c r="CG186" s="62" t="s">
        <v>658</v>
      </c>
    </row>
    <row r="187" s="52" customFormat="1" ht="13.5" spans="1:85">
      <c r="A187" s="61" t="s">
        <v>26</v>
      </c>
      <c r="B187" s="61" t="s">
        <v>778</v>
      </c>
      <c r="C187" s="61">
        <v>13950</v>
      </c>
      <c r="D187" s="61"/>
      <c r="E187" s="61" t="s">
        <v>779</v>
      </c>
      <c r="F187" s="61" t="b">
        <f>IF(COUNTIF(按提示输入属性!D10,E187)&gt;0,TRUE,FALSE)</f>
        <v>0</v>
      </c>
      <c r="G187" s="61"/>
      <c r="H187" s="61"/>
      <c r="I187" s="61"/>
      <c r="J187" s="61"/>
      <c r="K187" s="61">
        <v>0</v>
      </c>
      <c r="L187" s="61">
        <f>INT(K187*F342)</f>
        <v>0</v>
      </c>
      <c r="M187" s="61">
        <v>2859</v>
      </c>
      <c r="N187" s="61">
        <f>INT(M187*F342)</f>
        <v>3074</v>
      </c>
      <c r="O187" s="61">
        <v>0</v>
      </c>
      <c r="P187" s="61">
        <f>INT(O187*F342)</f>
        <v>0</v>
      </c>
      <c r="Q187" s="61">
        <v>0</v>
      </c>
      <c r="R187" s="61">
        <f>INT(Q187*F342)</f>
        <v>0</v>
      </c>
      <c r="S187" s="61">
        <v>3611</v>
      </c>
      <c r="T187" s="61">
        <f>INT(S187*F342)</f>
        <v>3882</v>
      </c>
      <c r="U187" s="61">
        <v>0</v>
      </c>
      <c r="V187" s="61">
        <f>INT(U187*F342)</f>
        <v>0</v>
      </c>
      <c r="W187" s="61">
        <v>3991</v>
      </c>
      <c r="X187" s="61">
        <f>INT(W187*F342)</f>
        <v>4291</v>
      </c>
      <c r="Y187" s="61">
        <v>0</v>
      </c>
      <c r="Z187" s="61">
        <v>0</v>
      </c>
      <c r="AA187" s="61">
        <v>0</v>
      </c>
      <c r="AB187" s="61">
        <v>0</v>
      </c>
      <c r="AC187" s="61">
        <v>1</v>
      </c>
      <c r="AD187" s="61">
        <v>0</v>
      </c>
      <c r="AE187" s="61">
        <v>0</v>
      </c>
      <c r="AF187" s="61">
        <v>0</v>
      </c>
      <c r="AG187" s="61">
        <v>1</v>
      </c>
      <c r="AH187" s="61">
        <v>0</v>
      </c>
      <c r="AI187" s="61">
        <v>0</v>
      </c>
      <c r="AJ187" s="61"/>
      <c r="AK187" s="61"/>
      <c r="AL187" s="61"/>
      <c r="AM187" s="61"/>
      <c r="AN187" s="61"/>
      <c r="AO187" s="61"/>
      <c r="AP187" s="61" t="s">
        <v>548</v>
      </c>
      <c r="AQ187" s="61">
        <v>4</v>
      </c>
      <c r="AR187" s="61" t="s">
        <v>449</v>
      </c>
      <c r="AS187" s="61">
        <v>1</v>
      </c>
      <c r="AT187" s="61" t="s">
        <v>450</v>
      </c>
      <c r="AU187" s="61" t="s">
        <v>450</v>
      </c>
      <c r="AV187" s="61" t="s">
        <v>450</v>
      </c>
      <c r="AW187" s="61">
        <v>3516</v>
      </c>
      <c r="AX187" s="61">
        <v>0</v>
      </c>
      <c r="AY187" s="61">
        <v>0</v>
      </c>
      <c r="AZ187" s="61">
        <v>0</v>
      </c>
      <c r="BA187" s="61" t="s">
        <v>451</v>
      </c>
      <c r="BB187" s="61" t="s">
        <v>452</v>
      </c>
      <c r="BC187" s="61" t="s">
        <v>453</v>
      </c>
      <c r="BD187" s="61" t="s">
        <v>454</v>
      </c>
      <c r="BE187" s="61" t="s">
        <v>455</v>
      </c>
      <c r="BF187" s="61" t="s">
        <v>780</v>
      </c>
      <c r="BG187" s="61" t="s">
        <v>781</v>
      </c>
      <c r="BH187" s="61" t="s">
        <v>456</v>
      </c>
      <c r="BI187" s="61" t="s">
        <v>456</v>
      </c>
      <c r="BJ187" s="61" t="s">
        <v>456</v>
      </c>
      <c r="BK187" s="61" t="s">
        <v>456</v>
      </c>
      <c r="BL187" s="61" t="s">
        <v>456</v>
      </c>
      <c r="BM187" s="61">
        <v>3100</v>
      </c>
      <c r="BN187" s="61">
        <v>601</v>
      </c>
      <c r="BO187" s="61">
        <v>1170</v>
      </c>
      <c r="BP187" s="61">
        <v>3017</v>
      </c>
      <c r="BQ187" s="61">
        <v>2681</v>
      </c>
      <c r="BR187" s="61">
        <v>7</v>
      </c>
      <c r="BS187" s="61">
        <v>50</v>
      </c>
      <c r="BT187" s="61">
        <v>0</v>
      </c>
      <c r="BU187" s="61">
        <v>0</v>
      </c>
      <c r="BV187" s="61">
        <v>0</v>
      </c>
      <c r="BW187" s="61">
        <v>0</v>
      </c>
      <c r="BX187" s="61">
        <v>0</v>
      </c>
      <c r="BY187" s="61" t="s">
        <v>453</v>
      </c>
      <c r="BZ187" s="61" t="s">
        <v>454</v>
      </c>
      <c r="CA187" s="61" t="s">
        <v>456</v>
      </c>
      <c r="CB187" s="66"/>
      <c r="CC187" s="61">
        <v>2</v>
      </c>
      <c r="CD187" s="61">
        <v>2</v>
      </c>
      <c r="CE187" s="61">
        <v>0</v>
      </c>
      <c r="CF187" s="61"/>
      <c r="CG187" s="61" t="s">
        <v>503</v>
      </c>
    </row>
    <row r="188" s="52" customFormat="1" ht="13.5" spans="1:85">
      <c r="A188" s="61" t="s">
        <v>26</v>
      </c>
      <c r="B188" s="61" t="s">
        <v>782</v>
      </c>
      <c r="C188" s="61">
        <v>13950</v>
      </c>
      <c r="D188" s="61"/>
      <c r="E188" s="61" t="s">
        <v>783</v>
      </c>
      <c r="F188" s="61" t="b">
        <f>IF(COUNTIF(按提示输入属性!D10,E188)&gt;0,TRUE,FALSE)</f>
        <v>0</v>
      </c>
      <c r="G188" s="61"/>
      <c r="H188" s="61"/>
      <c r="I188" s="61"/>
      <c r="J188" s="61"/>
      <c r="K188" s="61">
        <v>0</v>
      </c>
      <c r="L188" s="61">
        <f>INT(K188*F342)</f>
        <v>0</v>
      </c>
      <c r="M188" s="61">
        <v>2399</v>
      </c>
      <c r="N188" s="61">
        <f>INT(M188*F342)</f>
        <v>2579</v>
      </c>
      <c r="O188" s="61">
        <v>0</v>
      </c>
      <c r="P188" s="61">
        <f>INT(O188*F342)</f>
        <v>0</v>
      </c>
      <c r="Q188" s="61">
        <v>0</v>
      </c>
      <c r="R188" s="61">
        <f>INT(Q188*F342)</f>
        <v>0</v>
      </c>
      <c r="S188" s="61">
        <v>0</v>
      </c>
      <c r="T188" s="61">
        <f>INT(S188*F342)</f>
        <v>0</v>
      </c>
      <c r="U188" s="61">
        <v>4277</v>
      </c>
      <c r="V188" s="61">
        <f>INT(U188*F342)</f>
        <v>4598</v>
      </c>
      <c r="W188" s="61">
        <v>4277</v>
      </c>
      <c r="X188" s="61">
        <f>INT(W188*F342)</f>
        <v>4598</v>
      </c>
      <c r="Y188" s="61">
        <v>0</v>
      </c>
      <c r="Z188" s="61">
        <v>0</v>
      </c>
      <c r="AA188" s="61">
        <v>0</v>
      </c>
      <c r="AB188" s="61">
        <v>0</v>
      </c>
      <c r="AC188" s="61">
        <v>0</v>
      </c>
      <c r="AD188" s="61">
        <v>0</v>
      </c>
      <c r="AE188" s="61">
        <v>0</v>
      </c>
      <c r="AF188" s="61">
        <v>1</v>
      </c>
      <c r="AG188" s="61">
        <v>0</v>
      </c>
      <c r="AH188" s="61">
        <v>1</v>
      </c>
      <c r="AI188" s="61">
        <v>0</v>
      </c>
      <c r="AJ188" s="61"/>
      <c r="AK188" s="61"/>
      <c r="AL188" s="61"/>
      <c r="AM188" s="61"/>
      <c r="AN188" s="61"/>
      <c r="AO188" s="61"/>
      <c r="AP188" s="61" t="s">
        <v>784</v>
      </c>
      <c r="AQ188" s="61">
        <v>4</v>
      </c>
      <c r="AR188" s="61" t="s">
        <v>449</v>
      </c>
      <c r="AS188" s="61">
        <v>1</v>
      </c>
      <c r="AT188" s="61" t="s">
        <v>450</v>
      </c>
      <c r="AU188" s="61" t="s">
        <v>450</v>
      </c>
      <c r="AV188" s="61" t="s">
        <v>450</v>
      </c>
      <c r="AW188" s="61">
        <v>3516</v>
      </c>
      <c r="AX188" s="61">
        <v>0</v>
      </c>
      <c r="AY188" s="61">
        <v>0</v>
      </c>
      <c r="AZ188" s="61">
        <v>0</v>
      </c>
      <c r="BA188" s="61" t="s">
        <v>451</v>
      </c>
      <c r="BB188" s="61" t="s">
        <v>452</v>
      </c>
      <c r="BC188" s="61" t="s">
        <v>453</v>
      </c>
      <c r="BD188" s="61" t="s">
        <v>587</v>
      </c>
      <c r="BE188" s="61" t="s">
        <v>455</v>
      </c>
      <c r="BF188" s="61" t="s">
        <v>780</v>
      </c>
      <c r="BG188" s="61" t="s">
        <v>781</v>
      </c>
      <c r="BH188" s="61" t="s">
        <v>456</v>
      </c>
      <c r="BI188" s="61" t="s">
        <v>456</v>
      </c>
      <c r="BJ188" s="61" t="s">
        <v>456</v>
      </c>
      <c r="BK188" s="61" t="s">
        <v>456</v>
      </c>
      <c r="BL188" s="61" t="s">
        <v>456</v>
      </c>
      <c r="BM188" s="61">
        <v>3100</v>
      </c>
      <c r="BN188" s="61">
        <v>601</v>
      </c>
      <c r="BO188" s="61">
        <v>1170</v>
      </c>
      <c r="BP188" s="61">
        <v>3017</v>
      </c>
      <c r="BQ188" s="61">
        <v>2681</v>
      </c>
      <c r="BR188" s="61">
        <v>7</v>
      </c>
      <c r="BS188" s="61">
        <v>50</v>
      </c>
      <c r="BT188" s="61">
        <v>0</v>
      </c>
      <c r="BU188" s="61">
        <v>0</v>
      </c>
      <c r="BV188" s="61">
        <v>0</v>
      </c>
      <c r="BW188" s="61">
        <v>0</v>
      </c>
      <c r="BX188" s="61">
        <v>0</v>
      </c>
      <c r="BY188" s="61" t="s">
        <v>461</v>
      </c>
      <c r="BZ188" s="61" t="s">
        <v>453</v>
      </c>
      <c r="CA188" s="61" t="s">
        <v>456</v>
      </c>
      <c r="CB188" s="66"/>
      <c r="CC188" s="61">
        <v>2</v>
      </c>
      <c r="CD188" s="61">
        <v>2</v>
      </c>
      <c r="CE188" s="61">
        <v>0</v>
      </c>
      <c r="CF188" s="61"/>
      <c r="CG188" s="61" t="s">
        <v>503</v>
      </c>
    </row>
    <row r="189" s="52" customFormat="1" ht="13.5" spans="1:85">
      <c r="A189" s="61" t="s">
        <v>26</v>
      </c>
      <c r="B189" s="61" t="s">
        <v>785</v>
      </c>
      <c r="C189" s="61">
        <v>13950</v>
      </c>
      <c r="D189" s="61"/>
      <c r="E189" s="61" t="s">
        <v>786</v>
      </c>
      <c r="F189" s="61" t="b">
        <f>IF(COUNTIF(按提示输入属性!D10,E189)&gt;0,TRUE,FALSE)</f>
        <v>0</v>
      </c>
      <c r="G189" s="61"/>
      <c r="H189" s="61"/>
      <c r="I189" s="61"/>
      <c r="J189" s="61"/>
      <c r="K189" s="61">
        <v>682</v>
      </c>
      <c r="L189" s="61">
        <f>INT(K189*F342)</f>
        <v>733</v>
      </c>
      <c r="M189" s="61">
        <v>1327</v>
      </c>
      <c r="N189" s="61">
        <f>INT(M189*F342)</f>
        <v>1426</v>
      </c>
      <c r="O189" s="61">
        <v>3421</v>
      </c>
      <c r="P189" s="61">
        <f>INT(O189*F342)</f>
        <v>3678</v>
      </c>
      <c r="Q189" s="61">
        <v>0</v>
      </c>
      <c r="R189" s="61">
        <f>INT(Q189*F342)</f>
        <v>0</v>
      </c>
      <c r="S189" s="61">
        <v>0</v>
      </c>
      <c r="T189" s="61">
        <f>INT(S189*F342)</f>
        <v>0</v>
      </c>
      <c r="U189" s="61">
        <v>3041</v>
      </c>
      <c r="V189" s="61">
        <f>INT(U189*F342)</f>
        <v>3269</v>
      </c>
      <c r="W189" s="61">
        <v>0</v>
      </c>
      <c r="X189" s="61">
        <f>INT(W189*F342)</f>
        <v>0</v>
      </c>
      <c r="Y189" s="61">
        <v>0</v>
      </c>
      <c r="Z189" s="61">
        <v>0</v>
      </c>
      <c r="AA189" s="61">
        <v>0</v>
      </c>
      <c r="AB189" s="61">
        <v>0</v>
      </c>
      <c r="AC189" s="61">
        <v>0</v>
      </c>
      <c r="AD189" s="61">
        <v>1</v>
      </c>
      <c r="AE189" s="61">
        <v>1</v>
      </c>
      <c r="AF189" s="61">
        <v>0</v>
      </c>
      <c r="AG189" s="61">
        <v>0</v>
      </c>
      <c r="AH189" s="61">
        <v>0</v>
      </c>
      <c r="AI189" s="61">
        <v>0</v>
      </c>
      <c r="AJ189" s="61"/>
      <c r="AK189" s="61"/>
      <c r="AL189" s="61"/>
      <c r="AM189" s="61"/>
      <c r="AN189" s="61"/>
      <c r="AO189" s="61"/>
      <c r="AP189" s="61" t="s">
        <v>468</v>
      </c>
      <c r="AQ189" s="61">
        <v>6</v>
      </c>
      <c r="AR189" s="61" t="s">
        <v>469</v>
      </c>
      <c r="AS189" s="61">
        <v>1</v>
      </c>
      <c r="AT189" s="61" t="s">
        <v>450</v>
      </c>
      <c r="AU189" s="61" t="s">
        <v>450</v>
      </c>
      <c r="AV189" s="61" t="s">
        <v>450</v>
      </c>
      <c r="AW189" s="61">
        <v>3516</v>
      </c>
      <c r="AX189" s="61">
        <v>0</v>
      </c>
      <c r="AY189" s="61">
        <v>0</v>
      </c>
      <c r="AZ189" s="61">
        <v>0</v>
      </c>
      <c r="BA189" s="61" t="s">
        <v>451</v>
      </c>
      <c r="BB189" s="61" t="s">
        <v>452</v>
      </c>
      <c r="BC189" s="61" t="s">
        <v>453</v>
      </c>
      <c r="BD189" s="61" t="s">
        <v>461</v>
      </c>
      <c r="BE189" s="61" t="s">
        <v>462</v>
      </c>
      <c r="BF189" s="61" t="s">
        <v>780</v>
      </c>
      <c r="BG189" s="61" t="s">
        <v>781</v>
      </c>
      <c r="BH189" s="61" t="s">
        <v>456</v>
      </c>
      <c r="BI189" s="61" t="s">
        <v>456</v>
      </c>
      <c r="BJ189" s="61" t="s">
        <v>456</v>
      </c>
      <c r="BK189" s="61" t="s">
        <v>456</v>
      </c>
      <c r="BL189" s="61" t="s">
        <v>456</v>
      </c>
      <c r="BM189" s="61">
        <v>3100</v>
      </c>
      <c r="BN189" s="61">
        <v>601</v>
      </c>
      <c r="BO189" s="61">
        <v>1170</v>
      </c>
      <c r="BP189" s="61">
        <v>3017</v>
      </c>
      <c r="BQ189" s="61">
        <v>2681</v>
      </c>
      <c r="BR189" s="61">
        <v>7</v>
      </c>
      <c r="BS189" s="61">
        <v>50</v>
      </c>
      <c r="BT189" s="61">
        <v>0</v>
      </c>
      <c r="BU189" s="61">
        <v>0</v>
      </c>
      <c r="BV189" s="61">
        <v>0</v>
      </c>
      <c r="BW189" s="61">
        <v>0</v>
      </c>
      <c r="BX189" s="61">
        <v>0</v>
      </c>
      <c r="BY189" s="61" t="s">
        <v>452</v>
      </c>
      <c r="BZ189" s="61" t="s">
        <v>462</v>
      </c>
      <c r="CA189" s="61" t="s">
        <v>456</v>
      </c>
      <c r="CB189" s="66"/>
      <c r="CC189" s="61">
        <v>2</v>
      </c>
      <c r="CD189" s="61">
        <v>2</v>
      </c>
      <c r="CE189" s="61">
        <v>0</v>
      </c>
      <c r="CF189" s="61"/>
      <c r="CG189" s="61" t="s">
        <v>503</v>
      </c>
    </row>
    <row r="190" s="52" customFormat="1" ht="13.5" spans="1:85">
      <c r="A190" s="61" t="s">
        <v>26</v>
      </c>
      <c r="B190" s="61" t="s">
        <v>787</v>
      </c>
      <c r="C190" s="61">
        <v>13750</v>
      </c>
      <c r="D190" s="61"/>
      <c r="E190" s="61" t="s">
        <v>27</v>
      </c>
      <c r="F190" s="61" t="b">
        <f>IF(COUNTIF(按提示输入属性!D10,E190)&gt;0,TRUE,FALSE)</f>
        <v>1</v>
      </c>
      <c r="G190" s="61"/>
      <c r="H190" s="61"/>
      <c r="I190" s="61"/>
      <c r="J190" s="61"/>
      <c r="K190" s="61">
        <v>672</v>
      </c>
      <c r="L190" s="61">
        <f>INT(K190*F342)</f>
        <v>722</v>
      </c>
      <c r="M190" s="61">
        <v>1308</v>
      </c>
      <c r="N190" s="61">
        <f>INT(M190*F342)</f>
        <v>1406</v>
      </c>
      <c r="O190" s="61">
        <v>3372</v>
      </c>
      <c r="P190" s="61">
        <f>INT(O190*F342)</f>
        <v>3625</v>
      </c>
      <c r="Q190" s="61">
        <v>0</v>
      </c>
      <c r="R190" s="61">
        <f>INT(Q190*F342)</f>
        <v>0</v>
      </c>
      <c r="S190" s="61">
        <v>0</v>
      </c>
      <c r="T190" s="61">
        <f>INT(S190*F342)</f>
        <v>0</v>
      </c>
      <c r="U190" s="61">
        <v>0</v>
      </c>
      <c r="V190" s="61">
        <f>INT(U190*F342)</f>
        <v>0</v>
      </c>
      <c r="W190" s="61">
        <v>2998</v>
      </c>
      <c r="X190" s="61">
        <f>INT(W190*F342)</f>
        <v>3223</v>
      </c>
      <c r="Y190" s="61">
        <v>0</v>
      </c>
      <c r="Z190" s="61">
        <v>0</v>
      </c>
      <c r="AA190" s="61">
        <v>0</v>
      </c>
      <c r="AB190" s="61">
        <v>0</v>
      </c>
      <c r="AC190" s="61">
        <v>1</v>
      </c>
      <c r="AD190" s="61">
        <v>1</v>
      </c>
      <c r="AE190" s="61">
        <v>0</v>
      </c>
      <c r="AF190" s="61">
        <v>0</v>
      </c>
      <c r="AG190" s="61">
        <v>0</v>
      </c>
      <c r="AH190" s="61">
        <v>0</v>
      </c>
      <c r="AI190" s="61">
        <v>0</v>
      </c>
      <c r="AJ190" s="61"/>
      <c r="AK190" s="61"/>
      <c r="AL190" s="61"/>
      <c r="AM190" s="61">
        <v>1</v>
      </c>
      <c r="AN190" s="61"/>
      <c r="AO190" s="61"/>
      <c r="AP190" s="61" t="s">
        <v>460</v>
      </c>
      <c r="AQ190" s="61">
        <v>6</v>
      </c>
      <c r="AR190" s="61" t="s">
        <v>529</v>
      </c>
      <c r="AS190" s="61">
        <v>1</v>
      </c>
      <c r="AT190" s="61" t="s">
        <v>450</v>
      </c>
      <c r="AU190" s="61" t="s">
        <v>450</v>
      </c>
      <c r="AV190" s="61" t="s">
        <v>450</v>
      </c>
      <c r="AW190" s="61">
        <v>3466</v>
      </c>
      <c r="AX190" s="61">
        <v>0</v>
      </c>
      <c r="AY190" s="61">
        <v>0</v>
      </c>
      <c r="AZ190" s="61">
        <v>0</v>
      </c>
      <c r="BA190" s="61" t="s">
        <v>451</v>
      </c>
      <c r="BB190" s="61" t="s">
        <v>452</v>
      </c>
      <c r="BC190" s="61" t="s">
        <v>453</v>
      </c>
      <c r="BD190" s="61" t="s">
        <v>461</v>
      </c>
      <c r="BE190" s="61" t="s">
        <v>462</v>
      </c>
      <c r="BF190" s="61" t="s">
        <v>780</v>
      </c>
      <c r="BG190" s="61" t="s">
        <v>781</v>
      </c>
      <c r="BH190" s="61" t="s">
        <v>456</v>
      </c>
      <c r="BI190" s="61" t="s">
        <v>456</v>
      </c>
      <c r="BJ190" s="61" t="s">
        <v>456</v>
      </c>
      <c r="BK190" s="61" t="s">
        <v>456</v>
      </c>
      <c r="BL190" s="61" t="s">
        <v>456</v>
      </c>
      <c r="BM190" s="61">
        <v>3986</v>
      </c>
      <c r="BN190" s="61">
        <v>773</v>
      </c>
      <c r="BO190" s="61">
        <v>1505</v>
      </c>
      <c r="BP190" s="61">
        <v>3879</v>
      </c>
      <c r="BQ190" s="61">
        <v>3448</v>
      </c>
      <c r="BR190" s="61">
        <v>7</v>
      </c>
      <c r="BS190" s="61">
        <v>50</v>
      </c>
      <c r="BT190" s="61">
        <v>0</v>
      </c>
      <c r="BU190" s="61">
        <v>0</v>
      </c>
      <c r="BV190" s="61">
        <v>0</v>
      </c>
      <c r="BW190" s="61">
        <v>0</v>
      </c>
      <c r="BX190" s="61">
        <v>0</v>
      </c>
      <c r="BY190" s="61" t="s">
        <v>454</v>
      </c>
      <c r="BZ190" s="61" t="s">
        <v>462</v>
      </c>
      <c r="CA190" s="61" t="s">
        <v>456</v>
      </c>
      <c r="CB190" s="66"/>
      <c r="CC190" s="61">
        <v>2</v>
      </c>
      <c r="CD190" s="61">
        <v>2</v>
      </c>
      <c r="CE190" s="61">
        <v>0</v>
      </c>
      <c r="CF190" s="61"/>
      <c r="CG190" s="61" t="s">
        <v>503</v>
      </c>
    </row>
    <row r="191" s="52" customFormat="1" ht="13.5" spans="1:85">
      <c r="A191" s="61" t="s">
        <v>26</v>
      </c>
      <c r="B191" s="61" t="s">
        <v>788</v>
      </c>
      <c r="C191" s="61">
        <v>12600</v>
      </c>
      <c r="D191" s="61"/>
      <c r="E191" s="61" t="s">
        <v>789</v>
      </c>
      <c r="F191" s="61" t="b">
        <f>IF(COUNTIF(按提示输入属性!D10,E191)&gt;0,TRUE,FALSE)</f>
        <v>0</v>
      </c>
      <c r="G191" s="61"/>
      <c r="H191" s="61"/>
      <c r="I191" s="61"/>
      <c r="J191" s="61"/>
      <c r="K191" s="61">
        <v>616</v>
      </c>
      <c r="L191" s="61">
        <f>INT(K191*F342)</f>
        <v>662</v>
      </c>
      <c r="M191" s="61">
        <v>1199</v>
      </c>
      <c r="N191" s="61">
        <f>INT(M191*F342)</f>
        <v>1289</v>
      </c>
      <c r="O191" s="61">
        <v>3090</v>
      </c>
      <c r="P191" s="61">
        <f>INT(O191*F342)</f>
        <v>3322</v>
      </c>
      <c r="Q191" s="61">
        <v>0</v>
      </c>
      <c r="R191" s="61">
        <f>INT(Q191*F342)</f>
        <v>0</v>
      </c>
      <c r="S191" s="61">
        <v>0</v>
      </c>
      <c r="T191" s="61">
        <f>INT(S191*F342)</f>
        <v>0</v>
      </c>
      <c r="U191" s="61">
        <v>2747</v>
      </c>
      <c r="V191" s="61">
        <f>INT(U191*F342)</f>
        <v>2953</v>
      </c>
      <c r="W191" s="61">
        <v>0</v>
      </c>
      <c r="X191" s="61">
        <f>INT(W191*F342)</f>
        <v>0</v>
      </c>
      <c r="Y191" s="61">
        <v>0</v>
      </c>
      <c r="Z191" s="61">
        <v>0</v>
      </c>
      <c r="AA191" s="61">
        <v>0</v>
      </c>
      <c r="AB191" s="61">
        <v>0</v>
      </c>
      <c r="AC191" s="61">
        <v>0</v>
      </c>
      <c r="AD191" s="61">
        <v>1</v>
      </c>
      <c r="AE191" s="61">
        <v>1</v>
      </c>
      <c r="AF191" s="61">
        <v>0</v>
      </c>
      <c r="AG191" s="61">
        <v>0</v>
      </c>
      <c r="AH191" s="61">
        <v>0</v>
      </c>
      <c r="AI191" s="61">
        <v>0</v>
      </c>
      <c r="AJ191" s="61">
        <v>1</v>
      </c>
      <c r="AK191" s="61"/>
      <c r="AL191" s="61"/>
      <c r="AM191" s="61"/>
      <c r="AN191" s="61"/>
      <c r="AO191" s="61"/>
      <c r="AP191" s="61" t="s">
        <v>468</v>
      </c>
      <c r="AQ191" s="61">
        <v>6</v>
      </c>
      <c r="AR191" s="61" t="s">
        <v>503</v>
      </c>
      <c r="AS191" s="61">
        <v>1</v>
      </c>
      <c r="AT191" s="61" t="s">
        <v>450</v>
      </c>
      <c r="AU191" s="61" t="s">
        <v>450</v>
      </c>
      <c r="AV191" s="61" t="s">
        <v>450</v>
      </c>
      <c r="AW191" s="61">
        <v>3176</v>
      </c>
      <c r="AX191" s="61">
        <v>0</v>
      </c>
      <c r="AY191" s="61">
        <v>0</v>
      </c>
      <c r="AZ191" s="61">
        <v>0</v>
      </c>
      <c r="BA191" s="61" t="s">
        <v>451</v>
      </c>
      <c r="BB191" s="61" t="s">
        <v>452</v>
      </c>
      <c r="BC191" s="61" t="s">
        <v>453</v>
      </c>
      <c r="BD191" s="61" t="s">
        <v>587</v>
      </c>
      <c r="BE191" s="61" t="s">
        <v>455</v>
      </c>
      <c r="BF191" s="61" t="s">
        <v>780</v>
      </c>
      <c r="BG191" s="61" t="s">
        <v>781</v>
      </c>
      <c r="BH191" s="61" t="s">
        <v>456</v>
      </c>
      <c r="BI191" s="61" t="s">
        <v>456</v>
      </c>
      <c r="BJ191" s="61" t="s">
        <v>456</v>
      </c>
      <c r="BK191" s="61" t="s">
        <v>456</v>
      </c>
      <c r="BL191" s="61" t="s">
        <v>456</v>
      </c>
      <c r="BM191" s="61">
        <v>4429</v>
      </c>
      <c r="BN191" s="61">
        <v>859</v>
      </c>
      <c r="BO191" s="61">
        <v>1672</v>
      </c>
      <c r="BP191" s="61">
        <v>4309</v>
      </c>
      <c r="BQ191" s="61">
        <v>3831</v>
      </c>
      <c r="BR191" s="61">
        <v>7</v>
      </c>
      <c r="BS191" s="61">
        <v>50</v>
      </c>
      <c r="BT191" s="61">
        <v>0</v>
      </c>
      <c r="BU191" s="61">
        <v>0</v>
      </c>
      <c r="BV191" s="61">
        <v>0</v>
      </c>
      <c r="BW191" s="61">
        <v>0</v>
      </c>
      <c r="BX191" s="61">
        <v>0</v>
      </c>
      <c r="BY191" s="61" t="s">
        <v>452</v>
      </c>
      <c r="BZ191" s="61" t="s">
        <v>461</v>
      </c>
      <c r="CA191" s="61" t="s">
        <v>456</v>
      </c>
      <c r="CB191" s="66"/>
      <c r="CC191" s="61">
        <v>2</v>
      </c>
      <c r="CD191" s="61">
        <v>2</v>
      </c>
      <c r="CE191" s="61">
        <v>0</v>
      </c>
      <c r="CF191" s="61"/>
      <c r="CG191" s="61" t="s">
        <v>503</v>
      </c>
    </row>
    <row r="192" ht="13.5" spans="1:85">
      <c r="A192" s="61" t="s">
        <v>26</v>
      </c>
      <c r="B192" s="61" t="s">
        <v>790</v>
      </c>
      <c r="C192" s="61">
        <v>12600</v>
      </c>
      <c r="D192" s="61"/>
      <c r="E192" s="61" t="s">
        <v>791</v>
      </c>
      <c r="F192" s="61" t="b">
        <f>IF(COUNTIF(按提示输入属性!D10,E192)&gt;0,TRUE,FALSE)</f>
        <v>0</v>
      </c>
      <c r="G192" s="61"/>
      <c r="H192" s="61"/>
      <c r="I192" s="61"/>
      <c r="J192" s="61"/>
      <c r="K192" s="61">
        <v>616</v>
      </c>
      <c r="L192" s="61">
        <f>INT(K192*F342)</f>
        <v>662</v>
      </c>
      <c r="M192" s="61">
        <v>1199</v>
      </c>
      <c r="N192" s="61">
        <f>INT(M192*F342)</f>
        <v>1289</v>
      </c>
      <c r="O192" s="61">
        <v>0</v>
      </c>
      <c r="P192" s="61">
        <f>INT(O192*F342)</f>
        <v>0</v>
      </c>
      <c r="Q192" s="61">
        <v>0</v>
      </c>
      <c r="R192" s="61">
        <f>INT(Q192*F342)</f>
        <v>0</v>
      </c>
      <c r="S192" s="61">
        <v>3090</v>
      </c>
      <c r="T192" s="61">
        <f>INT(S192*F342)</f>
        <v>3322</v>
      </c>
      <c r="U192" s="61">
        <v>2747</v>
      </c>
      <c r="V192" s="61">
        <f>INT(U192*F342)</f>
        <v>2953</v>
      </c>
      <c r="W192" s="61">
        <v>0</v>
      </c>
      <c r="X192" s="61">
        <f>INT(W192*F342)</f>
        <v>0</v>
      </c>
      <c r="Y192" s="61">
        <v>0</v>
      </c>
      <c r="Z192" s="61">
        <v>0</v>
      </c>
      <c r="AA192" s="61">
        <v>0</v>
      </c>
      <c r="AB192" s="61">
        <v>1</v>
      </c>
      <c r="AC192" s="61">
        <v>0</v>
      </c>
      <c r="AD192" s="61">
        <v>0</v>
      </c>
      <c r="AE192" s="61">
        <v>0</v>
      </c>
      <c r="AF192" s="61">
        <v>1</v>
      </c>
      <c r="AG192" s="61">
        <v>0</v>
      </c>
      <c r="AH192" s="61">
        <v>0</v>
      </c>
      <c r="AI192" s="61">
        <v>0</v>
      </c>
      <c r="AJ192" s="61"/>
      <c r="AK192" s="61"/>
      <c r="AL192" s="61"/>
      <c r="AM192" s="61"/>
      <c r="AN192" s="61"/>
      <c r="AO192" s="61"/>
      <c r="AP192" s="61" t="s">
        <v>465</v>
      </c>
      <c r="AQ192" s="61">
        <v>6</v>
      </c>
      <c r="AR192" s="61" t="s">
        <v>458</v>
      </c>
      <c r="AS192" s="61">
        <v>1</v>
      </c>
      <c r="AT192" s="61" t="s">
        <v>450</v>
      </c>
      <c r="AU192" s="61" t="s">
        <v>450</v>
      </c>
      <c r="AV192" s="61" t="s">
        <v>450</v>
      </c>
      <c r="AW192" s="61">
        <v>3176</v>
      </c>
      <c r="AX192" s="61">
        <v>0</v>
      </c>
      <c r="AY192" s="61">
        <v>0</v>
      </c>
      <c r="AZ192" s="61">
        <v>0</v>
      </c>
      <c r="BA192" s="61" t="s">
        <v>453</v>
      </c>
      <c r="BB192" s="61" t="s">
        <v>454</v>
      </c>
      <c r="BC192" s="61" t="s">
        <v>456</v>
      </c>
      <c r="BD192" s="61" t="s">
        <v>456</v>
      </c>
      <c r="BE192" s="61" t="s">
        <v>456</v>
      </c>
      <c r="BF192" s="61" t="s">
        <v>456</v>
      </c>
      <c r="BG192" s="61" t="s">
        <v>456</v>
      </c>
      <c r="BH192" s="61" t="s">
        <v>456</v>
      </c>
      <c r="BI192" s="61" t="s">
        <v>456</v>
      </c>
      <c r="BJ192" s="61" t="s">
        <v>456</v>
      </c>
      <c r="BK192" s="61" t="s">
        <v>456</v>
      </c>
      <c r="BL192" s="61" t="s">
        <v>456</v>
      </c>
      <c r="BM192" s="61">
        <v>3872</v>
      </c>
      <c r="BN192" s="61">
        <v>7525</v>
      </c>
      <c r="BO192" s="61">
        <v>0</v>
      </c>
      <c r="BP192" s="61">
        <v>0</v>
      </c>
      <c r="BQ192" s="61">
        <v>0</v>
      </c>
      <c r="BR192" s="61">
        <v>0</v>
      </c>
      <c r="BS192" s="61">
        <v>0</v>
      </c>
      <c r="BT192" s="61">
        <v>0</v>
      </c>
      <c r="BU192" s="61">
        <v>0</v>
      </c>
      <c r="BV192" s="61">
        <v>0</v>
      </c>
      <c r="BW192" s="61">
        <v>0</v>
      </c>
      <c r="BX192" s="61">
        <v>0</v>
      </c>
      <c r="BY192" s="61" t="s">
        <v>455</v>
      </c>
      <c r="BZ192" s="61" t="s">
        <v>453</v>
      </c>
      <c r="CA192" s="61" t="s">
        <v>456</v>
      </c>
      <c r="CB192" s="66"/>
      <c r="CC192" s="61">
        <v>2</v>
      </c>
      <c r="CD192" s="61">
        <v>2</v>
      </c>
      <c r="CE192" s="61">
        <v>0</v>
      </c>
      <c r="CF192" s="61"/>
      <c r="CG192" s="61" t="s">
        <v>473</v>
      </c>
    </row>
    <row r="193" ht="13.5" spans="1:85">
      <c r="A193" s="61" t="s">
        <v>26</v>
      </c>
      <c r="B193" s="61" t="s">
        <v>792</v>
      </c>
      <c r="C193" s="61">
        <v>12450</v>
      </c>
      <c r="D193" s="61"/>
      <c r="E193" s="61" t="s">
        <v>793</v>
      </c>
      <c r="F193" s="61" t="b">
        <f>IF(COUNTIF(按提示输入属性!D10,E193)&gt;0,TRUE,FALSE)</f>
        <v>0</v>
      </c>
      <c r="G193" s="61"/>
      <c r="H193" s="61"/>
      <c r="I193" s="61"/>
      <c r="J193" s="61"/>
      <c r="K193" s="61">
        <v>609</v>
      </c>
      <c r="L193" s="61">
        <f>INT(K193*F342)</f>
        <v>654</v>
      </c>
      <c r="M193" s="61">
        <v>1185</v>
      </c>
      <c r="N193" s="61">
        <f>INT(M193*F342)</f>
        <v>1274</v>
      </c>
      <c r="O193" s="61">
        <v>0</v>
      </c>
      <c r="P193" s="61">
        <f>INT(O193*F342)</f>
        <v>0</v>
      </c>
      <c r="Q193" s="61">
        <v>0</v>
      </c>
      <c r="R193" s="61">
        <f>INT(Q193*F342)</f>
        <v>0</v>
      </c>
      <c r="S193" s="61">
        <v>3053</v>
      </c>
      <c r="T193" s="61">
        <f>INT(S193*F342)</f>
        <v>3282</v>
      </c>
      <c r="U193" s="61">
        <v>0</v>
      </c>
      <c r="V193" s="61">
        <f>INT(U193*F342)</f>
        <v>0</v>
      </c>
      <c r="W193" s="61">
        <v>2714</v>
      </c>
      <c r="X193" s="61">
        <f>INT(W193*F342)</f>
        <v>2918</v>
      </c>
      <c r="Y193" s="61">
        <v>0</v>
      </c>
      <c r="Z193" s="61">
        <v>0</v>
      </c>
      <c r="AA193" s="61">
        <v>0</v>
      </c>
      <c r="AB193" s="61">
        <v>0</v>
      </c>
      <c r="AC193" s="61">
        <v>0</v>
      </c>
      <c r="AD193" s="61">
        <v>1</v>
      </c>
      <c r="AE193" s="61">
        <v>0</v>
      </c>
      <c r="AF193" s="61">
        <v>0</v>
      </c>
      <c r="AG193" s="61">
        <v>0</v>
      </c>
      <c r="AH193" s="61">
        <v>1</v>
      </c>
      <c r="AI193" s="61">
        <v>0</v>
      </c>
      <c r="AJ193" s="61"/>
      <c r="AK193" s="61"/>
      <c r="AL193" s="61"/>
      <c r="AM193" s="61"/>
      <c r="AN193" s="61"/>
      <c r="AO193" s="61"/>
      <c r="AP193" s="61" t="s">
        <v>486</v>
      </c>
      <c r="AQ193" s="61">
        <v>6</v>
      </c>
      <c r="AR193" s="61" t="s">
        <v>449</v>
      </c>
      <c r="AS193" s="61">
        <v>1</v>
      </c>
      <c r="AT193" s="61" t="s">
        <v>450</v>
      </c>
      <c r="AU193" s="61" t="s">
        <v>450</v>
      </c>
      <c r="AV193" s="61" t="s">
        <v>450</v>
      </c>
      <c r="AW193" s="61">
        <v>3138</v>
      </c>
      <c r="AX193" s="61">
        <v>0</v>
      </c>
      <c r="AY193" s="61">
        <v>0</v>
      </c>
      <c r="AZ193" s="61">
        <v>0</v>
      </c>
      <c r="BA193" s="61" t="s">
        <v>453</v>
      </c>
      <c r="BB193" s="61" t="s">
        <v>487</v>
      </c>
      <c r="BC193" s="61" t="s">
        <v>490</v>
      </c>
      <c r="BD193" s="61" t="s">
        <v>456</v>
      </c>
      <c r="BE193" s="61" t="s">
        <v>456</v>
      </c>
      <c r="BF193" s="61" t="s">
        <v>456</v>
      </c>
      <c r="BG193" s="61" t="s">
        <v>456</v>
      </c>
      <c r="BH193" s="61" t="s">
        <v>456</v>
      </c>
      <c r="BI193" s="61" t="s">
        <v>456</v>
      </c>
      <c r="BJ193" s="61" t="s">
        <v>456</v>
      </c>
      <c r="BK193" s="61" t="s">
        <v>456</v>
      </c>
      <c r="BL193" s="61" t="s">
        <v>456</v>
      </c>
      <c r="BM193" s="61">
        <v>3302</v>
      </c>
      <c r="BN193" s="61">
        <v>5299</v>
      </c>
      <c r="BO193" s="61">
        <v>3180</v>
      </c>
      <c r="BP193" s="61">
        <v>0</v>
      </c>
      <c r="BQ193" s="61">
        <v>0</v>
      </c>
      <c r="BR193" s="61">
        <v>0</v>
      </c>
      <c r="BS193" s="61">
        <v>0</v>
      </c>
      <c r="BT193" s="61">
        <v>0</v>
      </c>
      <c r="BU193" s="61">
        <v>0</v>
      </c>
      <c r="BV193" s="61">
        <v>0</v>
      </c>
      <c r="BW193" s="61">
        <v>0</v>
      </c>
      <c r="BX193" s="61">
        <v>0</v>
      </c>
      <c r="BY193" s="61" t="s">
        <v>454</v>
      </c>
      <c r="BZ193" s="61" t="s">
        <v>453</v>
      </c>
      <c r="CA193" s="61" t="s">
        <v>456</v>
      </c>
      <c r="CB193" s="66"/>
      <c r="CC193" s="61">
        <v>2</v>
      </c>
      <c r="CD193" s="61">
        <v>2</v>
      </c>
      <c r="CE193" s="61">
        <v>0</v>
      </c>
      <c r="CF193" s="61"/>
      <c r="CG193" s="61" t="s">
        <v>473</v>
      </c>
    </row>
    <row r="194" ht="13.5" spans="1:85">
      <c r="A194" s="61" t="s">
        <v>26</v>
      </c>
      <c r="B194" s="61" t="s">
        <v>794</v>
      </c>
      <c r="C194" s="61">
        <v>12450</v>
      </c>
      <c r="D194" s="61"/>
      <c r="E194" s="61" t="s">
        <v>795</v>
      </c>
      <c r="F194" s="61" t="b">
        <f>IF(COUNTIF(按提示输入属性!D10,E194)&gt;0,TRUE,FALSE)</f>
        <v>0</v>
      </c>
      <c r="G194" s="61"/>
      <c r="H194" s="61"/>
      <c r="I194" s="61"/>
      <c r="J194" s="61"/>
      <c r="K194" s="61">
        <v>609</v>
      </c>
      <c r="L194" s="61">
        <f>INT(K194*F342)</f>
        <v>654</v>
      </c>
      <c r="M194" s="61">
        <v>1185</v>
      </c>
      <c r="N194" s="61">
        <f>INT(M194*F342)</f>
        <v>1274</v>
      </c>
      <c r="O194" s="61">
        <v>0</v>
      </c>
      <c r="P194" s="61">
        <f>INT(O194*F342)</f>
        <v>0</v>
      </c>
      <c r="Q194" s="61">
        <v>0</v>
      </c>
      <c r="R194" s="61">
        <f>INT(Q194*F342)</f>
        <v>0</v>
      </c>
      <c r="S194" s="61">
        <v>0</v>
      </c>
      <c r="T194" s="61">
        <f>INT(S194*F342)</f>
        <v>0</v>
      </c>
      <c r="U194" s="61">
        <v>2714</v>
      </c>
      <c r="V194" s="61">
        <f>INT(U194*F342)</f>
        <v>2918</v>
      </c>
      <c r="W194" s="61">
        <v>0</v>
      </c>
      <c r="X194" s="61">
        <f>INT(W194*F342)</f>
        <v>0</v>
      </c>
      <c r="Y194" s="61">
        <v>3053</v>
      </c>
      <c r="Z194" s="61">
        <v>0</v>
      </c>
      <c r="AA194" s="61">
        <v>0</v>
      </c>
      <c r="AB194" s="61">
        <v>0</v>
      </c>
      <c r="AC194" s="61">
        <v>1</v>
      </c>
      <c r="AD194" s="61">
        <v>1</v>
      </c>
      <c r="AE194" s="61">
        <v>0</v>
      </c>
      <c r="AF194" s="61">
        <v>0</v>
      </c>
      <c r="AG194" s="61">
        <v>0</v>
      </c>
      <c r="AH194" s="61">
        <v>0</v>
      </c>
      <c r="AI194" s="61">
        <v>0</v>
      </c>
      <c r="AJ194" s="61"/>
      <c r="AK194" s="61"/>
      <c r="AL194" s="61"/>
      <c r="AM194" s="61"/>
      <c r="AN194" s="61"/>
      <c r="AO194" s="61"/>
      <c r="AP194" s="61" t="s">
        <v>448</v>
      </c>
      <c r="AQ194" s="61">
        <v>6</v>
      </c>
      <c r="AR194" s="61" t="s">
        <v>449</v>
      </c>
      <c r="AS194" s="61">
        <v>1</v>
      </c>
      <c r="AT194" s="61" t="s">
        <v>450</v>
      </c>
      <c r="AU194" s="61" t="s">
        <v>450</v>
      </c>
      <c r="AV194" s="61" t="s">
        <v>450</v>
      </c>
      <c r="AW194" s="61">
        <v>3138</v>
      </c>
      <c r="AX194" s="61">
        <v>0</v>
      </c>
      <c r="AY194" s="61">
        <v>0</v>
      </c>
      <c r="AZ194" s="61">
        <v>0</v>
      </c>
      <c r="BA194" s="61" t="s">
        <v>453</v>
      </c>
      <c r="BB194" s="61" t="s">
        <v>455</v>
      </c>
      <c r="BC194" s="61" t="s">
        <v>487</v>
      </c>
      <c r="BD194" s="61" t="s">
        <v>462</v>
      </c>
      <c r="BE194" s="61" t="s">
        <v>456</v>
      </c>
      <c r="BF194" s="61" t="s">
        <v>456</v>
      </c>
      <c r="BG194" s="61" t="s">
        <v>456</v>
      </c>
      <c r="BH194" s="61" t="s">
        <v>456</v>
      </c>
      <c r="BI194" s="61" t="s">
        <v>456</v>
      </c>
      <c r="BJ194" s="61" t="s">
        <v>456</v>
      </c>
      <c r="BK194" s="61" t="s">
        <v>456</v>
      </c>
      <c r="BL194" s="61" t="s">
        <v>456</v>
      </c>
      <c r="BM194" s="61">
        <v>3302</v>
      </c>
      <c r="BN194" s="61">
        <v>2332</v>
      </c>
      <c r="BO194" s="61">
        <v>4027</v>
      </c>
      <c r="BP194" s="61">
        <v>2332</v>
      </c>
      <c r="BQ194" s="61">
        <v>0</v>
      </c>
      <c r="BR194" s="61">
        <v>0</v>
      </c>
      <c r="BS194" s="61">
        <v>0</v>
      </c>
      <c r="BT194" s="61">
        <v>0</v>
      </c>
      <c r="BU194" s="61">
        <v>0</v>
      </c>
      <c r="BV194" s="61">
        <v>0</v>
      </c>
      <c r="BW194" s="61">
        <v>0</v>
      </c>
      <c r="BX194" s="61">
        <v>0</v>
      </c>
      <c r="BY194" s="61" t="s">
        <v>454</v>
      </c>
      <c r="BZ194" s="61" t="s">
        <v>462</v>
      </c>
      <c r="CA194" s="61" t="s">
        <v>456</v>
      </c>
      <c r="CB194" s="66"/>
      <c r="CC194" s="61">
        <v>2</v>
      </c>
      <c r="CD194" s="61">
        <v>2</v>
      </c>
      <c r="CE194" s="61">
        <v>0</v>
      </c>
      <c r="CF194" s="61"/>
      <c r="CG194" s="61" t="s">
        <v>473</v>
      </c>
    </row>
    <row r="195" s="55" customFormat="1" spans="1:85">
      <c r="A195" s="63" t="s">
        <v>26</v>
      </c>
      <c r="B195" s="63" t="s">
        <v>796</v>
      </c>
      <c r="C195" s="63">
        <v>12450</v>
      </c>
      <c r="D195" s="63"/>
      <c r="E195" s="63" t="s">
        <v>797</v>
      </c>
      <c r="F195" s="63" t="b">
        <f>IF(COUNTIF(按提示输入属性!D10,E195)&gt;0,TRUE,FALSE)</f>
        <v>0</v>
      </c>
      <c r="G195" s="63"/>
      <c r="H195" s="63"/>
      <c r="I195" s="63"/>
      <c r="J195" s="63"/>
      <c r="K195" s="63">
        <v>0</v>
      </c>
      <c r="L195" s="63">
        <f>INT(K195*F342)</f>
        <v>0</v>
      </c>
      <c r="M195" s="63">
        <v>3098</v>
      </c>
      <c r="N195" s="63">
        <f>INT(M195*F343)</f>
        <v>3215</v>
      </c>
      <c r="O195" s="63">
        <v>0</v>
      </c>
      <c r="P195" s="61">
        <f>INT(O195*F343)</f>
        <v>0</v>
      </c>
      <c r="Q195" s="63">
        <v>0</v>
      </c>
      <c r="R195" s="61">
        <f>INT(Q195*F344)</f>
        <v>0</v>
      </c>
      <c r="S195" s="63">
        <v>0</v>
      </c>
      <c r="T195" s="61">
        <f>INT(S195*F343)</f>
        <v>0</v>
      </c>
      <c r="U195" s="63">
        <v>0</v>
      </c>
      <c r="V195" s="61">
        <f>INT(U195*F343)</f>
        <v>0</v>
      </c>
      <c r="W195" s="63">
        <v>5683</v>
      </c>
      <c r="X195" s="61">
        <f>INT(W195*F343)</f>
        <v>5899</v>
      </c>
      <c r="Y195" s="63">
        <v>0</v>
      </c>
      <c r="Z195" s="63">
        <v>0</v>
      </c>
      <c r="AA195" s="63">
        <v>0</v>
      </c>
      <c r="AB195" s="63">
        <v>0</v>
      </c>
      <c r="AC195" s="63">
        <v>0</v>
      </c>
      <c r="AD195" s="63">
        <v>0</v>
      </c>
      <c r="AE195" s="63">
        <v>0</v>
      </c>
      <c r="AF195" s="63">
        <v>1</v>
      </c>
      <c r="AG195" s="63">
        <v>0</v>
      </c>
      <c r="AH195" s="63">
        <v>1</v>
      </c>
      <c r="AI195" s="63">
        <v>0</v>
      </c>
      <c r="AJ195" s="63"/>
      <c r="AK195" s="63"/>
      <c r="AL195" s="63"/>
      <c r="AM195" s="63"/>
      <c r="AN195" s="63"/>
      <c r="AO195" s="63"/>
      <c r="AP195" s="63" t="s">
        <v>519</v>
      </c>
      <c r="AQ195" s="63">
        <v>4</v>
      </c>
      <c r="AR195" s="63" t="s">
        <v>449</v>
      </c>
      <c r="AS195" s="63">
        <v>1</v>
      </c>
      <c r="AT195" s="63" t="s">
        <v>450</v>
      </c>
      <c r="AU195" s="63" t="s">
        <v>450</v>
      </c>
      <c r="AV195" s="63" t="s">
        <v>450</v>
      </c>
      <c r="AW195" s="63">
        <v>3138</v>
      </c>
      <c r="AX195" s="63">
        <v>0</v>
      </c>
      <c r="AY195" s="63">
        <v>0</v>
      </c>
      <c r="AZ195" s="63">
        <v>0</v>
      </c>
      <c r="BA195" s="63" t="s">
        <v>453</v>
      </c>
      <c r="BB195" s="63" t="s">
        <v>462</v>
      </c>
      <c r="BC195" s="63" t="s">
        <v>456</v>
      </c>
      <c r="BD195" s="63" t="s">
        <v>456</v>
      </c>
      <c r="BE195" s="63" t="s">
        <v>456</v>
      </c>
      <c r="BF195" s="63" t="s">
        <v>456</v>
      </c>
      <c r="BG195" s="63" t="s">
        <v>456</v>
      </c>
      <c r="BH195" s="63" t="s">
        <v>456</v>
      </c>
      <c r="BI195" s="63" t="s">
        <v>456</v>
      </c>
      <c r="BJ195" s="63" t="s">
        <v>456</v>
      </c>
      <c r="BK195" s="63" t="s">
        <v>456</v>
      </c>
      <c r="BL195" s="63" t="s">
        <v>456</v>
      </c>
      <c r="BM195" s="63">
        <v>3011</v>
      </c>
      <c r="BN195" s="63">
        <v>5853</v>
      </c>
      <c r="BO195" s="63">
        <v>0</v>
      </c>
      <c r="BP195" s="63">
        <v>0</v>
      </c>
      <c r="BQ195" s="63">
        <v>0</v>
      </c>
      <c r="BR195" s="63">
        <v>0</v>
      </c>
      <c r="BS195" s="63">
        <v>0</v>
      </c>
      <c r="BT195" s="63">
        <v>0</v>
      </c>
      <c r="BU195" s="63">
        <v>0</v>
      </c>
      <c r="BV195" s="63">
        <v>0</v>
      </c>
      <c r="BW195" s="63">
        <v>0</v>
      </c>
      <c r="BX195" s="63">
        <v>0</v>
      </c>
      <c r="BY195" s="63" t="s">
        <v>487</v>
      </c>
      <c r="BZ195" s="63" t="s">
        <v>462</v>
      </c>
      <c r="CA195" s="63" t="s">
        <v>456</v>
      </c>
      <c r="CB195" s="65"/>
      <c r="CC195" s="63">
        <v>2</v>
      </c>
      <c r="CD195" s="63">
        <v>2</v>
      </c>
      <c r="CE195" s="63">
        <v>0</v>
      </c>
      <c r="CF195" s="63"/>
      <c r="CG195" s="63" t="s">
        <v>473</v>
      </c>
    </row>
    <row r="196" s="55" customFormat="1" spans="1:85">
      <c r="A196" s="63" t="s">
        <v>26</v>
      </c>
      <c r="B196" s="63" t="s">
        <v>798</v>
      </c>
      <c r="C196" s="63">
        <v>12450</v>
      </c>
      <c r="D196" s="63"/>
      <c r="E196" s="63" t="s">
        <v>799</v>
      </c>
      <c r="F196" s="63" t="b">
        <f>IF(COUNTIF(按提示输入属性!D10,E196)&gt;0,TRUE,FALSE)</f>
        <v>0</v>
      </c>
      <c r="G196" s="63"/>
      <c r="H196" s="63"/>
      <c r="I196" s="63"/>
      <c r="J196" s="63"/>
      <c r="K196" s="63">
        <v>0</v>
      </c>
      <c r="L196" s="63">
        <f>INT(K196*F342)</f>
        <v>0</v>
      </c>
      <c r="M196" s="63">
        <v>2552</v>
      </c>
      <c r="N196" s="63">
        <f>INT(M196*F343)</f>
        <v>2649</v>
      </c>
      <c r="O196" s="63">
        <v>0</v>
      </c>
      <c r="P196" s="61">
        <f>INT(O196*F343)</f>
        <v>0</v>
      </c>
      <c r="Q196" s="63">
        <v>0</v>
      </c>
      <c r="R196" s="61">
        <f>INT(Q196*F344)</f>
        <v>0</v>
      </c>
      <c r="S196" s="63">
        <v>3223</v>
      </c>
      <c r="T196" s="61">
        <f>INT(S196*F343)</f>
        <v>3345</v>
      </c>
      <c r="U196" s="63">
        <v>3562</v>
      </c>
      <c r="V196" s="61">
        <f>INT(U196*F343)</f>
        <v>3697</v>
      </c>
      <c r="W196" s="63">
        <v>0</v>
      </c>
      <c r="X196" s="61">
        <f>INT(W196*F343)</f>
        <v>0</v>
      </c>
      <c r="Y196" s="63">
        <v>0</v>
      </c>
      <c r="Z196" s="63">
        <v>0</v>
      </c>
      <c r="AA196" s="63">
        <v>0</v>
      </c>
      <c r="AB196" s="63">
        <v>0</v>
      </c>
      <c r="AC196" s="63">
        <v>1</v>
      </c>
      <c r="AD196" s="63">
        <v>1</v>
      </c>
      <c r="AE196" s="63">
        <v>0</v>
      </c>
      <c r="AF196" s="63">
        <v>0</v>
      </c>
      <c r="AG196" s="63">
        <v>0</v>
      </c>
      <c r="AH196" s="63">
        <v>0</v>
      </c>
      <c r="AI196" s="63">
        <v>0</v>
      </c>
      <c r="AJ196" s="63"/>
      <c r="AK196" s="63"/>
      <c r="AL196" s="63"/>
      <c r="AM196" s="63"/>
      <c r="AN196" s="63"/>
      <c r="AO196" s="63"/>
      <c r="AP196" s="63" t="s">
        <v>521</v>
      </c>
      <c r="AQ196" s="63">
        <v>4</v>
      </c>
      <c r="AR196" s="63" t="s">
        <v>449</v>
      </c>
      <c r="AS196" s="63">
        <v>1</v>
      </c>
      <c r="AT196" s="63" t="s">
        <v>450</v>
      </c>
      <c r="AU196" s="63" t="s">
        <v>450</v>
      </c>
      <c r="AV196" s="63" t="s">
        <v>450</v>
      </c>
      <c r="AW196" s="63">
        <v>3138</v>
      </c>
      <c r="AX196" s="63">
        <v>0</v>
      </c>
      <c r="AY196" s="63">
        <v>0</v>
      </c>
      <c r="AZ196" s="63">
        <v>0</v>
      </c>
      <c r="BA196" s="63" t="s">
        <v>453</v>
      </c>
      <c r="BB196" s="63" t="s">
        <v>455</v>
      </c>
      <c r="BC196" s="63" t="s">
        <v>454</v>
      </c>
      <c r="BD196" s="63" t="s">
        <v>456</v>
      </c>
      <c r="BE196" s="63" t="s">
        <v>456</v>
      </c>
      <c r="BF196" s="63" t="s">
        <v>456</v>
      </c>
      <c r="BG196" s="63" t="s">
        <v>456</v>
      </c>
      <c r="BH196" s="63" t="s">
        <v>456</v>
      </c>
      <c r="BI196" s="63" t="s">
        <v>456</v>
      </c>
      <c r="BJ196" s="63" t="s">
        <v>456</v>
      </c>
      <c r="BK196" s="63" t="s">
        <v>456</v>
      </c>
      <c r="BL196" s="63" t="s">
        <v>456</v>
      </c>
      <c r="BM196" s="63">
        <v>2568</v>
      </c>
      <c r="BN196" s="63">
        <v>3297</v>
      </c>
      <c r="BO196" s="63">
        <v>3462</v>
      </c>
      <c r="BP196" s="63">
        <v>0</v>
      </c>
      <c r="BQ196" s="63">
        <v>0</v>
      </c>
      <c r="BR196" s="63">
        <v>0</v>
      </c>
      <c r="BS196" s="63">
        <v>0</v>
      </c>
      <c r="BT196" s="63">
        <v>0</v>
      </c>
      <c r="BU196" s="63">
        <v>0</v>
      </c>
      <c r="BV196" s="63">
        <v>0</v>
      </c>
      <c r="BW196" s="63">
        <v>0</v>
      </c>
      <c r="BX196" s="63">
        <v>0</v>
      </c>
      <c r="BY196" s="63" t="s">
        <v>487</v>
      </c>
      <c r="BZ196" s="63" t="s">
        <v>455</v>
      </c>
      <c r="CA196" s="63" t="s">
        <v>456</v>
      </c>
      <c r="CB196" s="65"/>
      <c r="CC196" s="63">
        <v>2</v>
      </c>
      <c r="CD196" s="63">
        <v>2</v>
      </c>
      <c r="CE196" s="63">
        <v>0</v>
      </c>
      <c r="CF196" s="63"/>
      <c r="CG196" s="63" t="s">
        <v>473</v>
      </c>
    </row>
    <row r="197" s="55" customFormat="1" spans="1:85">
      <c r="A197" s="63" t="s">
        <v>26</v>
      </c>
      <c r="B197" s="63" t="s">
        <v>800</v>
      </c>
      <c r="C197" s="63">
        <v>12450</v>
      </c>
      <c r="D197" s="63"/>
      <c r="E197" s="63" t="s">
        <v>801</v>
      </c>
      <c r="F197" s="63" t="b">
        <f>IF(COUNTIF(按提示输入属性!D10,E197)&gt;0,TRUE,FALSE)</f>
        <v>0</v>
      </c>
      <c r="G197" s="63"/>
      <c r="H197" s="63"/>
      <c r="I197" s="63"/>
      <c r="J197" s="63"/>
      <c r="K197" s="63">
        <v>0</v>
      </c>
      <c r="L197" s="63">
        <f>INT(K197*F342)</f>
        <v>0</v>
      </c>
      <c r="M197" s="63">
        <v>2187</v>
      </c>
      <c r="N197" s="63">
        <f>INT(M197*F343)</f>
        <v>2270</v>
      </c>
      <c r="O197" s="63">
        <v>2205</v>
      </c>
      <c r="P197" s="63">
        <f>INT(O197*F343)</f>
        <v>2288</v>
      </c>
      <c r="Q197" s="63">
        <v>0</v>
      </c>
      <c r="R197" s="63">
        <f>INT(Q197*F344)</f>
        <v>0</v>
      </c>
      <c r="S197" s="63">
        <v>0</v>
      </c>
      <c r="T197" s="63">
        <f>INT(S197*F343)</f>
        <v>0</v>
      </c>
      <c r="U197" s="63">
        <v>0</v>
      </c>
      <c r="V197" s="63">
        <f>INT(U197*F343)</f>
        <v>0</v>
      </c>
      <c r="W197" s="63">
        <v>5428</v>
      </c>
      <c r="X197" s="63">
        <f>INT(W197*F343)</f>
        <v>5634</v>
      </c>
      <c r="Y197" s="63">
        <v>0</v>
      </c>
      <c r="Z197" s="63">
        <v>0</v>
      </c>
      <c r="AA197" s="63">
        <v>0</v>
      </c>
      <c r="AB197" s="63">
        <v>0</v>
      </c>
      <c r="AC197" s="63">
        <v>1</v>
      </c>
      <c r="AD197" s="63">
        <v>0</v>
      </c>
      <c r="AE197" s="63">
        <v>0</v>
      </c>
      <c r="AF197" s="63">
        <v>0</v>
      </c>
      <c r="AG197" s="63">
        <v>1</v>
      </c>
      <c r="AH197" s="63">
        <v>0</v>
      </c>
      <c r="AI197" s="63">
        <v>0</v>
      </c>
      <c r="AJ197" s="63"/>
      <c r="AK197" s="63"/>
      <c r="AL197" s="63"/>
      <c r="AM197" s="63"/>
      <c r="AN197" s="63"/>
      <c r="AO197" s="63"/>
      <c r="AP197" s="63" t="s">
        <v>551</v>
      </c>
      <c r="AQ197" s="63">
        <v>4</v>
      </c>
      <c r="AR197" s="63" t="s">
        <v>449</v>
      </c>
      <c r="AS197" s="63">
        <v>1</v>
      </c>
      <c r="AT197" s="63" t="s">
        <v>450</v>
      </c>
      <c r="AU197" s="63" t="s">
        <v>450</v>
      </c>
      <c r="AV197" s="63" t="s">
        <v>450</v>
      </c>
      <c r="AW197" s="63">
        <v>3138</v>
      </c>
      <c r="AX197" s="63">
        <v>0</v>
      </c>
      <c r="AY197" s="63">
        <v>0</v>
      </c>
      <c r="AZ197" s="63">
        <v>0</v>
      </c>
      <c r="BA197" s="63" t="s">
        <v>453</v>
      </c>
      <c r="BB197" s="63" t="s">
        <v>487</v>
      </c>
      <c r="BC197" s="63" t="s">
        <v>490</v>
      </c>
      <c r="BD197" s="63" t="s">
        <v>462</v>
      </c>
      <c r="BE197" s="63" t="s">
        <v>456</v>
      </c>
      <c r="BF197" s="63" t="s">
        <v>456</v>
      </c>
      <c r="BG197" s="63" t="s">
        <v>456</v>
      </c>
      <c r="BH197" s="63" t="s">
        <v>456</v>
      </c>
      <c r="BI197" s="63" t="s">
        <v>456</v>
      </c>
      <c r="BJ197" s="63" t="s">
        <v>456</v>
      </c>
      <c r="BK197" s="63" t="s">
        <v>456</v>
      </c>
      <c r="BL197" s="63" t="s">
        <v>456</v>
      </c>
      <c r="BM197" s="63">
        <v>2568</v>
      </c>
      <c r="BN197" s="63">
        <v>3132</v>
      </c>
      <c r="BO197" s="63">
        <v>1649</v>
      </c>
      <c r="BP197" s="63">
        <v>1814</v>
      </c>
      <c r="BQ197" s="63">
        <v>0</v>
      </c>
      <c r="BR197" s="63">
        <v>0</v>
      </c>
      <c r="BS197" s="63">
        <v>0</v>
      </c>
      <c r="BT197" s="63">
        <v>0</v>
      </c>
      <c r="BU197" s="63">
        <v>0</v>
      </c>
      <c r="BV197" s="63">
        <v>0</v>
      </c>
      <c r="BW197" s="63">
        <v>0</v>
      </c>
      <c r="BX197" s="63">
        <v>0</v>
      </c>
      <c r="BY197" s="63" t="s">
        <v>454</v>
      </c>
      <c r="BZ197" s="63" t="s">
        <v>462</v>
      </c>
      <c r="CA197" s="63" t="s">
        <v>456</v>
      </c>
      <c r="CB197" s="65"/>
      <c r="CC197" s="63">
        <v>2</v>
      </c>
      <c r="CD197" s="63">
        <v>2</v>
      </c>
      <c r="CE197" s="63">
        <v>0</v>
      </c>
      <c r="CF197" s="63"/>
      <c r="CG197" s="63" t="s">
        <v>473</v>
      </c>
    </row>
    <row r="198" s="55" customFormat="1" spans="1:85">
      <c r="A198" s="63" t="s">
        <v>26</v>
      </c>
      <c r="B198" s="63" t="s">
        <v>802</v>
      </c>
      <c r="C198" s="63">
        <v>12450</v>
      </c>
      <c r="D198" s="63"/>
      <c r="E198" s="63" t="s">
        <v>803</v>
      </c>
      <c r="F198" s="63" t="b">
        <f>IF(COUNTIF(按提示输入属性!D10,E198)&gt;0,TRUE,FALSE)</f>
        <v>0</v>
      </c>
      <c r="G198" s="63"/>
      <c r="H198" s="63"/>
      <c r="I198" s="63"/>
      <c r="J198" s="63"/>
      <c r="K198" s="63">
        <v>0</v>
      </c>
      <c r="L198" s="63">
        <f>INT(K198*F342)</f>
        <v>0</v>
      </c>
      <c r="M198" s="63">
        <v>2552</v>
      </c>
      <c r="N198" s="63">
        <f>INT(M198*F343)</f>
        <v>2649</v>
      </c>
      <c r="O198" s="63">
        <v>0</v>
      </c>
      <c r="P198" s="61">
        <f>INT(O198*F343)</f>
        <v>0</v>
      </c>
      <c r="Q198" s="63">
        <v>0</v>
      </c>
      <c r="R198" s="61">
        <f>INT(Q198*F344)</f>
        <v>0</v>
      </c>
      <c r="S198" s="63">
        <v>3223</v>
      </c>
      <c r="T198" s="61">
        <f>INT(S198*F343)</f>
        <v>3345</v>
      </c>
      <c r="U198" s="63">
        <v>0</v>
      </c>
      <c r="V198" s="61">
        <f>INT(U198*F343)</f>
        <v>0</v>
      </c>
      <c r="W198" s="63">
        <v>3562</v>
      </c>
      <c r="X198" s="61">
        <f>INT(W198*F343)</f>
        <v>3697</v>
      </c>
      <c r="Y198" s="63">
        <v>0</v>
      </c>
      <c r="Z198" s="63">
        <v>0</v>
      </c>
      <c r="AA198" s="63">
        <v>0</v>
      </c>
      <c r="AB198" s="63">
        <v>0</v>
      </c>
      <c r="AC198" s="63">
        <v>1</v>
      </c>
      <c r="AD198" s="63">
        <v>0</v>
      </c>
      <c r="AE198" s="63">
        <v>0</v>
      </c>
      <c r="AF198" s="63">
        <v>0</v>
      </c>
      <c r="AG198" s="63">
        <v>1</v>
      </c>
      <c r="AH198" s="63">
        <v>0</v>
      </c>
      <c r="AI198" s="63">
        <v>0</v>
      </c>
      <c r="AJ198" s="63"/>
      <c r="AK198" s="63"/>
      <c r="AL198" s="63"/>
      <c r="AM198" s="63"/>
      <c r="AN198" s="63"/>
      <c r="AO198" s="63"/>
      <c r="AP198" s="63" t="s">
        <v>548</v>
      </c>
      <c r="AQ198" s="63">
        <v>4</v>
      </c>
      <c r="AR198" s="63" t="s">
        <v>449</v>
      </c>
      <c r="AS198" s="63">
        <v>1</v>
      </c>
      <c r="AT198" s="63" t="s">
        <v>450</v>
      </c>
      <c r="AU198" s="63" t="s">
        <v>450</v>
      </c>
      <c r="AV198" s="63" t="s">
        <v>450</v>
      </c>
      <c r="AW198" s="63">
        <v>3138</v>
      </c>
      <c r="AX198" s="63">
        <v>0</v>
      </c>
      <c r="AY198" s="63">
        <v>0</v>
      </c>
      <c r="AZ198" s="63">
        <v>0</v>
      </c>
      <c r="BA198" s="63" t="s">
        <v>453</v>
      </c>
      <c r="BB198" s="63" t="s">
        <v>487</v>
      </c>
      <c r="BC198" s="63" t="s">
        <v>456</v>
      </c>
      <c r="BD198" s="63" t="s">
        <v>456</v>
      </c>
      <c r="BE198" s="63" t="s">
        <v>456</v>
      </c>
      <c r="BF198" s="63" t="s">
        <v>456</v>
      </c>
      <c r="BG198" s="63" t="s">
        <v>456</v>
      </c>
      <c r="BH198" s="63" t="s">
        <v>456</v>
      </c>
      <c r="BI198" s="63" t="s">
        <v>456</v>
      </c>
      <c r="BJ198" s="63" t="s">
        <v>456</v>
      </c>
      <c r="BK198" s="63" t="s">
        <v>456</v>
      </c>
      <c r="BL198" s="63" t="s">
        <v>456</v>
      </c>
      <c r="BM198" s="63">
        <v>4302</v>
      </c>
      <c r="BN198" s="63">
        <v>8361</v>
      </c>
      <c r="BO198" s="63">
        <v>0</v>
      </c>
      <c r="BP198" s="63">
        <v>0</v>
      </c>
      <c r="BQ198" s="63">
        <v>0</v>
      </c>
      <c r="BR198" s="63">
        <v>0</v>
      </c>
      <c r="BS198" s="63">
        <v>0</v>
      </c>
      <c r="BT198" s="63">
        <v>0</v>
      </c>
      <c r="BU198" s="63">
        <v>0</v>
      </c>
      <c r="BV198" s="63">
        <v>0</v>
      </c>
      <c r="BW198" s="63">
        <v>0</v>
      </c>
      <c r="BX198" s="63">
        <v>0</v>
      </c>
      <c r="BY198" s="63" t="s">
        <v>490</v>
      </c>
      <c r="BZ198" s="63" t="s">
        <v>487</v>
      </c>
      <c r="CA198" s="63" t="s">
        <v>456</v>
      </c>
      <c r="CB198" s="65"/>
      <c r="CC198" s="63">
        <v>2</v>
      </c>
      <c r="CD198" s="63">
        <v>2</v>
      </c>
      <c r="CE198" s="63">
        <v>0</v>
      </c>
      <c r="CF198" s="63"/>
      <c r="CG198" s="63" t="s">
        <v>473</v>
      </c>
    </row>
    <row r="199" ht="13.5" spans="1:85">
      <c r="A199" s="61" t="s">
        <v>26</v>
      </c>
      <c r="B199" s="61" t="s">
        <v>804</v>
      </c>
      <c r="C199" s="61">
        <v>12450</v>
      </c>
      <c r="D199" s="61"/>
      <c r="E199" s="61" t="s">
        <v>805</v>
      </c>
      <c r="F199" s="61" t="b">
        <f>IF(COUNTIF(按提示输入属性!D10,E199)&gt;0,TRUE,FALSE)</f>
        <v>0</v>
      </c>
      <c r="G199" s="61"/>
      <c r="H199" s="61"/>
      <c r="I199" s="61"/>
      <c r="J199" s="61"/>
      <c r="K199" s="61">
        <v>609</v>
      </c>
      <c r="L199" s="61">
        <f>INT(K199*F342)</f>
        <v>654</v>
      </c>
      <c r="M199" s="61">
        <v>1185</v>
      </c>
      <c r="N199" s="61">
        <f>INT(M199*F342)</f>
        <v>1274</v>
      </c>
      <c r="O199" s="61">
        <v>3053</v>
      </c>
      <c r="P199" s="61">
        <f>INT(O199*F342)</f>
        <v>3282</v>
      </c>
      <c r="Q199" s="61">
        <v>0</v>
      </c>
      <c r="R199" s="61">
        <f>INT(Q199*F342)</f>
        <v>0</v>
      </c>
      <c r="S199" s="61">
        <v>0</v>
      </c>
      <c r="T199" s="61">
        <f>INT(S199*F342)</f>
        <v>0</v>
      </c>
      <c r="U199" s="61">
        <v>2714</v>
      </c>
      <c r="V199" s="61">
        <f>INT(U199*F342)</f>
        <v>2918</v>
      </c>
      <c r="W199" s="61">
        <v>0</v>
      </c>
      <c r="X199" s="61">
        <f>INT(W199*F342)</f>
        <v>0</v>
      </c>
      <c r="Y199" s="61">
        <v>0</v>
      </c>
      <c r="Z199" s="61">
        <v>0</v>
      </c>
      <c r="AA199" s="61">
        <v>0</v>
      </c>
      <c r="AB199" s="61">
        <v>0</v>
      </c>
      <c r="AC199" s="61">
        <v>0</v>
      </c>
      <c r="AD199" s="61">
        <v>1</v>
      </c>
      <c r="AE199" s="61">
        <v>1</v>
      </c>
      <c r="AF199" s="61">
        <v>0</v>
      </c>
      <c r="AG199" s="61">
        <v>0</v>
      </c>
      <c r="AH199" s="61">
        <v>0</v>
      </c>
      <c r="AI199" s="61">
        <v>0</v>
      </c>
      <c r="AJ199" s="61"/>
      <c r="AK199" s="61"/>
      <c r="AL199" s="61"/>
      <c r="AM199" s="61"/>
      <c r="AN199" s="61"/>
      <c r="AO199" s="61"/>
      <c r="AP199" s="61" t="s">
        <v>468</v>
      </c>
      <c r="AQ199" s="61">
        <v>6</v>
      </c>
      <c r="AR199" s="61" t="s">
        <v>469</v>
      </c>
      <c r="AS199" s="61">
        <v>1</v>
      </c>
      <c r="AT199" s="61" t="s">
        <v>450</v>
      </c>
      <c r="AU199" s="61" t="s">
        <v>450</v>
      </c>
      <c r="AV199" s="61" t="s">
        <v>450</v>
      </c>
      <c r="AW199" s="61">
        <v>3138</v>
      </c>
      <c r="AX199" s="61">
        <v>0</v>
      </c>
      <c r="AY199" s="61">
        <v>0</v>
      </c>
      <c r="AZ199" s="61">
        <v>0</v>
      </c>
      <c r="BA199" s="61" t="s">
        <v>453</v>
      </c>
      <c r="BB199" s="61" t="s">
        <v>454</v>
      </c>
      <c r="BC199" s="61" t="s">
        <v>462</v>
      </c>
      <c r="BD199" s="61" t="s">
        <v>456</v>
      </c>
      <c r="BE199" s="61" t="s">
        <v>456</v>
      </c>
      <c r="BF199" s="61" t="s">
        <v>456</v>
      </c>
      <c r="BG199" s="61" t="s">
        <v>456</v>
      </c>
      <c r="BH199" s="61" t="s">
        <v>456</v>
      </c>
      <c r="BI199" s="61" t="s">
        <v>456</v>
      </c>
      <c r="BJ199" s="61" t="s">
        <v>456</v>
      </c>
      <c r="BK199" s="61" t="s">
        <v>456</v>
      </c>
      <c r="BL199" s="61" t="s">
        <v>456</v>
      </c>
      <c r="BM199" s="61">
        <v>3669</v>
      </c>
      <c r="BN199" s="61">
        <v>4710</v>
      </c>
      <c r="BO199" s="61">
        <v>4946</v>
      </c>
      <c r="BP199" s="61">
        <v>0</v>
      </c>
      <c r="BQ199" s="61">
        <v>0</v>
      </c>
      <c r="BR199" s="61">
        <v>0</v>
      </c>
      <c r="BS199" s="61">
        <v>0</v>
      </c>
      <c r="BT199" s="61">
        <v>0</v>
      </c>
      <c r="BU199" s="61">
        <v>0</v>
      </c>
      <c r="BV199" s="61">
        <v>0</v>
      </c>
      <c r="BW199" s="61">
        <v>0</v>
      </c>
      <c r="BX199" s="61">
        <v>0</v>
      </c>
      <c r="BY199" s="61" t="s">
        <v>455</v>
      </c>
      <c r="BZ199" s="61" t="s">
        <v>453</v>
      </c>
      <c r="CA199" s="61" t="s">
        <v>456</v>
      </c>
      <c r="CB199" s="66"/>
      <c r="CC199" s="61">
        <v>2</v>
      </c>
      <c r="CD199" s="61">
        <v>2</v>
      </c>
      <c r="CE199" s="61">
        <v>0</v>
      </c>
      <c r="CF199" s="61"/>
      <c r="CG199" s="61" t="s">
        <v>473</v>
      </c>
    </row>
    <row r="200" ht="13.5" spans="1:85">
      <c r="A200" s="61" t="s">
        <v>26</v>
      </c>
      <c r="B200" s="61" t="s">
        <v>806</v>
      </c>
      <c r="C200" s="61">
        <v>12450</v>
      </c>
      <c r="D200" s="61"/>
      <c r="E200" s="61" t="s">
        <v>807</v>
      </c>
      <c r="F200" s="61" t="b">
        <f>IF(COUNTIF(按提示输入属性!D10,E200)&gt;0,TRUE,FALSE)</f>
        <v>0</v>
      </c>
      <c r="G200" s="61"/>
      <c r="H200" s="61"/>
      <c r="I200" s="61"/>
      <c r="J200" s="61"/>
      <c r="K200" s="61">
        <v>609</v>
      </c>
      <c r="L200" s="61">
        <f>INT(K200*F342)</f>
        <v>654</v>
      </c>
      <c r="M200" s="61">
        <v>1185</v>
      </c>
      <c r="N200" s="61">
        <f>INT(M200*F342)</f>
        <v>1274</v>
      </c>
      <c r="O200" s="61">
        <v>0</v>
      </c>
      <c r="P200" s="61">
        <f>INT(O200*F342)</f>
        <v>0</v>
      </c>
      <c r="Q200" s="61">
        <v>0</v>
      </c>
      <c r="R200" s="61">
        <f>INT(Q200*F342)</f>
        <v>0</v>
      </c>
      <c r="S200" s="61">
        <v>3053</v>
      </c>
      <c r="T200" s="61">
        <f>INT(S200*F342)</f>
        <v>3282</v>
      </c>
      <c r="U200" s="61">
        <v>2714</v>
      </c>
      <c r="V200" s="61">
        <f>INT(U200*F342)</f>
        <v>2918</v>
      </c>
      <c r="W200" s="61">
        <v>0</v>
      </c>
      <c r="X200" s="61">
        <f>INT(W200*F342)</f>
        <v>0</v>
      </c>
      <c r="Y200" s="61">
        <v>0</v>
      </c>
      <c r="Z200" s="61">
        <v>0</v>
      </c>
      <c r="AA200" s="61">
        <v>0</v>
      </c>
      <c r="AB200" s="61">
        <v>1</v>
      </c>
      <c r="AC200" s="61">
        <v>0</v>
      </c>
      <c r="AD200" s="61">
        <v>0</v>
      </c>
      <c r="AE200" s="61">
        <v>0</v>
      </c>
      <c r="AF200" s="61">
        <v>1</v>
      </c>
      <c r="AG200" s="61">
        <v>0</v>
      </c>
      <c r="AH200" s="61">
        <v>0</v>
      </c>
      <c r="AI200" s="61">
        <v>0</v>
      </c>
      <c r="AJ200" s="61"/>
      <c r="AK200" s="61"/>
      <c r="AL200" s="61"/>
      <c r="AM200" s="61"/>
      <c r="AN200" s="61"/>
      <c r="AO200" s="61"/>
      <c r="AP200" s="61" t="s">
        <v>465</v>
      </c>
      <c r="AQ200" s="61">
        <v>6</v>
      </c>
      <c r="AR200" s="61" t="s">
        <v>499</v>
      </c>
      <c r="AS200" s="61">
        <v>1</v>
      </c>
      <c r="AT200" s="61" t="s">
        <v>450</v>
      </c>
      <c r="AU200" s="61" t="s">
        <v>450</v>
      </c>
      <c r="AV200" s="61" t="s">
        <v>450</v>
      </c>
      <c r="AW200" s="61">
        <v>3138</v>
      </c>
      <c r="AX200" s="61">
        <v>0</v>
      </c>
      <c r="AY200" s="61">
        <v>0</v>
      </c>
      <c r="AZ200" s="61">
        <v>0</v>
      </c>
      <c r="BA200" s="61" t="s">
        <v>453</v>
      </c>
      <c r="BB200" s="61" t="s">
        <v>455</v>
      </c>
      <c r="BC200" s="61" t="s">
        <v>454</v>
      </c>
      <c r="BD200" s="61" t="s">
        <v>487</v>
      </c>
      <c r="BE200" s="61" t="s">
        <v>456</v>
      </c>
      <c r="BF200" s="61" t="s">
        <v>456</v>
      </c>
      <c r="BG200" s="61" t="s">
        <v>456</v>
      </c>
      <c r="BH200" s="61" t="s">
        <v>456</v>
      </c>
      <c r="BI200" s="61" t="s">
        <v>456</v>
      </c>
      <c r="BJ200" s="61" t="s">
        <v>456</v>
      </c>
      <c r="BK200" s="61" t="s">
        <v>456</v>
      </c>
      <c r="BL200" s="61" t="s">
        <v>456</v>
      </c>
      <c r="BM200" s="61">
        <v>4049</v>
      </c>
      <c r="BN200" s="61">
        <v>2826</v>
      </c>
      <c r="BO200" s="61">
        <v>3062</v>
      </c>
      <c r="BP200" s="61">
        <v>3062</v>
      </c>
      <c r="BQ200" s="61">
        <v>0</v>
      </c>
      <c r="BR200" s="61">
        <v>0</v>
      </c>
      <c r="BS200" s="61">
        <v>0</v>
      </c>
      <c r="BT200" s="61">
        <v>0</v>
      </c>
      <c r="BU200" s="61">
        <v>0</v>
      </c>
      <c r="BV200" s="61">
        <v>0</v>
      </c>
      <c r="BW200" s="61">
        <v>0</v>
      </c>
      <c r="BX200" s="61">
        <v>0</v>
      </c>
      <c r="BY200" s="61" t="s">
        <v>490</v>
      </c>
      <c r="BZ200" s="61" t="s">
        <v>454</v>
      </c>
      <c r="CA200" s="61" t="s">
        <v>456</v>
      </c>
      <c r="CB200" s="66"/>
      <c r="CC200" s="61">
        <v>2</v>
      </c>
      <c r="CD200" s="61">
        <v>2</v>
      </c>
      <c r="CE200" s="61">
        <v>0</v>
      </c>
      <c r="CF200" s="61"/>
      <c r="CG200" s="61" t="s">
        <v>473</v>
      </c>
    </row>
    <row r="201" ht="13.5" spans="1:85">
      <c r="A201" s="61" t="s">
        <v>26</v>
      </c>
      <c r="B201" s="61" t="s">
        <v>808</v>
      </c>
      <c r="C201" s="61">
        <v>12300</v>
      </c>
      <c r="D201" s="61"/>
      <c r="E201" s="61" t="s">
        <v>809</v>
      </c>
      <c r="F201" s="61" t="b">
        <f>IF(COUNTIF(按提示输入属性!D10,E201)&gt;0,TRUE,FALSE)</f>
        <v>0</v>
      </c>
      <c r="G201" s="61"/>
      <c r="H201" s="61"/>
      <c r="I201" s="61"/>
      <c r="J201" s="61"/>
      <c r="K201" s="61">
        <v>601</v>
      </c>
      <c r="L201" s="61">
        <f>INT(K201*F342)</f>
        <v>646</v>
      </c>
      <c r="M201" s="61">
        <v>1170</v>
      </c>
      <c r="N201" s="61">
        <f>INT(M201*F342)</f>
        <v>1258</v>
      </c>
      <c r="O201" s="61">
        <v>3017</v>
      </c>
      <c r="P201" s="61">
        <f>INT(O201*F342)</f>
        <v>3243</v>
      </c>
      <c r="Q201" s="61">
        <v>0</v>
      </c>
      <c r="R201" s="61">
        <f>INT(Q201*F342)</f>
        <v>0</v>
      </c>
      <c r="S201" s="61">
        <v>0</v>
      </c>
      <c r="T201" s="61">
        <f>INT(S201*F342)</f>
        <v>0</v>
      </c>
      <c r="U201" s="61">
        <v>0</v>
      </c>
      <c r="V201" s="61">
        <f>INT(U201*F342)</f>
        <v>0</v>
      </c>
      <c r="W201" s="61">
        <v>2681</v>
      </c>
      <c r="X201" s="61">
        <f>INT(W201*F342)</f>
        <v>2882</v>
      </c>
      <c r="Y201" s="61">
        <v>0</v>
      </c>
      <c r="Z201" s="61">
        <v>0</v>
      </c>
      <c r="AA201" s="61">
        <v>0</v>
      </c>
      <c r="AB201" s="61">
        <v>0</v>
      </c>
      <c r="AC201" s="61">
        <v>1</v>
      </c>
      <c r="AD201" s="61">
        <v>1</v>
      </c>
      <c r="AE201" s="61">
        <v>0</v>
      </c>
      <c r="AF201" s="61">
        <v>0</v>
      </c>
      <c r="AG201" s="61">
        <v>0</v>
      </c>
      <c r="AH201" s="61">
        <v>0</v>
      </c>
      <c r="AI201" s="61">
        <v>0</v>
      </c>
      <c r="AJ201" s="61"/>
      <c r="AK201" s="61"/>
      <c r="AL201" s="61">
        <v>1</v>
      </c>
      <c r="AM201" s="61"/>
      <c r="AN201" s="61"/>
      <c r="AO201" s="61"/>
      <c r="AP201" s="61" t="s">
        <v>460</v>
      </c>
      <c r="AQ201" s="61">
        <v>6</v>
      </c>
      <c r="AR201" s="61" t="s">
        <v>529</v>
      </c>
      <c r="AS201" s="61">
        <v>1</v>
      </c>
      <c r="AT201" s="61" t="s">
        <v>450</v>
      </c>
      <c r="AU201" s="61" t="s">
        <v>450</v>
      </c>
      <c r="AV201" s="61" t="s">
        <v>450</v>
      </c>
      <c r="AW201" s="61">
        <v>3100</v>
      </c>
      <c r="AX201" s="61">
        <v>0</v>
      </c>
      <c r="AY201" s="61">
        <v>0</v>
      </c>
      <c r="AZ201" s="61">
        <v>0</v>
      </c>
      <c r="BA201" s="61" t="s">
        <v>453</v>
      </c>
      <c r="BB201" s="61" t="s">
        <v>487</v>
      </c>
      <c r="BC201" s="61" t="s">
        <v>456</v>
      </c>
      <c r="BD201" s="61" t="s">
        <v>456</v>
      </c>
      <c r="BE201" s="61" t="s">
        <v>456</v>
      </c>
      <c r="BF201" s="61" t="s">
        <v>456</v>
      </c>
      <c r="BG201" s="61" t="s">
        <v>456</v>
      </c>
      <c r="BH201" s="61" t="s">
        <v>456</v>
      </c>
      <c r="BI201" s="61" t="s">
        <v>456</v>
      </c>
      <c r="BJ201" s="61" t="s">
        <v>456</v>
      </c>
      <c r="BK201" s="61" t="s">
        <v>456</v>
      </c>
      <c r="BL201" s="61" t="s">
        <v>456</v>
      </c>
      <c r="BM201" s="61">
        <v>3011</v>
      </c>
      <c r="BN201" s="61">
        <v>5853</v>
      </c>
      <c r="BO201" s="61">
        <v>0</v>
      </c>
      <c r="BP201" s="61">
        <v>0</v>
      </c>
      <c r="BQ201" s="61">
        <v>0</v>
      </c>
      <c r="BR201" s="61">
        <v>0</v>
      </c>
      <c r="BS201" s="61">
        <v>0</v>
      </c>
      <c r="BT201" s="61">
        <v>0</v>
      </c>
      <c r="BU201" s="61">
        <v>0</v>
      </c>
      <c r="BV201" s="61">
        <v>0</v>
      </c>
      <c r="BW201" s="61">
        <v>0</v>
      </c>
      <c r="BX201" s="61">
        <v>0</v>
      </c>
      <c r="BY201" s="61" t="s">
        <v>490</v>
      </c>
      <c r="BZ201" s="61" t="s">
        <v>487</v>
      </c>
      <c r="CA201" s="61" t="s">
        <v>456</v>
      </c>
      <c r="CB201" s="66"/>
      <c r="CC201" s="61">
        <v>2</v>
      </c>
      <c r="CD201" s="61">
        <v>2</v>
      </c>
      <c r="CE201" s="61">
        <v>0</v>
      </c>
      <c r="CF201" s="61"/>
      <c r="CG201" s="61" t="s">
        <v>473</v>
      </c>
    </row>
    <row r="202" ht="13.5" spans="1:85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>
        <f>INT(K202*F342)</f>
        <v>0</v>
      </c>
      <c r="M202" s="61"/>
      <c r="N202" s="61">
        <f>INT(M202*F342)</f>
        <v>0</v>
      </c>
      <c r="O202" s="61"/>
      <c r="P202" s="61">
        <f>INT(O202*F342)</f>
        <v>0</v>
      </c>
      <c r="Q202" s="61"/>
      <c r="R202" s="61">
        <f>INT(Q202*F342)</f>
        <v>0</v>
      </c>
      <c r="S202" s="61"/>
      <c r="T202" s="61">
        <f>INT(S202*F342)</f>
        <v>0</v>
      </c>
      <c r="U202" s="61"/>
      <c r="V202" s="61">
        <f>INT(U202*F342)</f>
        <v>0</v>
      </c>
      <c r="W202" s="61"/>
      <c r="X202" s="61">
        <f>INT(W202*F342)</f>
        <v>0</v>
      </c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6"/>
      <c r="CC202" s="61"/>
      <c r="CD202" s="61"/>
      <c r="CE202" s="61"/>
      <c r="CF202" s="61"/>
      <c r="CG202" s="61"/>
    </row>
    <row r="203" ht="13.5" spans="1:85">
      <c r="A203" s="61" t="s">
        <v>43</v>
      </c>
      <c r="B203" s="61" t="s">
        <v>810</v>
      </c>
      <c r="C203" s="61">
        <v>14150</v>
      </c>
      <c r="D203" s="61"/>
      <c r="E203" s="61" t="s">
        <v>811</v>
      </c>
      <c r="F203" s="61" t="b">
        <f>IF(COUNTIF(按提示输入属性!D15,E203)&gt;0,TRUE,FALSE)</f>
        <v>0</v>
      </c>
      <c r="G203" s="61"/>
      <c r="H203" s="61"/>
      <c r="I203" s="61"/>
      <c r="J203" s="61"/>
      <c r="K203" s="61">
        <v>494</v>
      </c>
      <c r="L203" s="61">
        <f>INT(K203*F342)</f>
        <v>531</v>
      </c>
      <c r="M203" s="61">
        <v>962</v>
      </c>
      <c r="N203" s="61">
        <f>INT(M203*F342)</f>
        <v>1034</v>
      </c>
      <c r="O203" s="61">
        <v>2479</v>
      </c>
      <c r="P203" s="61">
        <f>INT(O203*F342)</f>
        <v>2665</v>
      </c>
      <c r="Q203" s="61">
        <v>0</v>
      </c>
      <c r="R203" s="61">
        <f>INT(Q203*F342)</f>
        <v>0</v>
      </c>
      <c r="S203" s="61">
        <v>0</v>
      </c>
      <c r="T203" s="61">
        <f>INT(S203*F342)</f>
        <v>0</v>
      </c>
      <c r="U203" s="61">
        <v>0</v>
      </c>
      <c r="V203" s="61">
        <f>INT(U203*F342)</f>
        <v>0</v>
      </c>
      <c r="W203" s="61">
        <v>2203</v>
      </c>
      <c r="X203" s="61">
        <f>INT(W203*F342)</f>
        <v>2368</v>
      </c>
      <c r="Y203" s="61">
        <v>0</v>
      </c>
      <c r="Z203" s="61">
        <v>0</v>
      </c>
      <c r="AA203" s="61">
        <v>0</v>
      </c>
      <c r="AB203" s="61">
        <v>0</v>
      </c>
      <c r="AC203" s="61">
        <v>0</v>
      </c>
      <c r="AD203" s="61">
        <v>0</v>
      </c>
      <c r="AE203" s="61">
        <v>0</v>
      </c>
      <c r="AF203" s="61">
        <v>0</v>
      </c>
      <c r="AG203" s="61">
        <v>0</v>
      </c>
      <c r="AH203" s="61">
        <v>1</v>
      </c>
      <c r="AI203" s="61">
        <v>0</v>
      </c>
      <c r="AJ203" s="61"/>
      <c r="AK203" s="61"/>
      <c r="AL203" s="61"/>
      <c r="AM203" s="61"/>
      <c r="AN203" s="61"/>
      <c r="AO203" s="61"/>
      <c r="AP203" s="61" t="s">
        <v>460</v>
      </c>
      <c r="AQ203" s="61">
        <v>6</v>
      </c>
      <c r="AR203" s="61" t="s">
        <v>458</v>
      </c>
      <c r="AS203" s="61">
        <v>1</v>
      </c>
      <c r="AT203" s="61" t="s">
        <v>450</v>
      </c>
      <c r="AU203" s="61" t="s">
        <v>450</v>
      </c>
      <c r="AV203" s="61" t="s">
        <v>450</v>
      </c>
      <c r="AW203" s="61">
        <v>2548</v>
      </c>
      <c r="AX203" s="61">
        <v>0</v>
      </c>
      <c r="AY203" s="61">
        <v>0</v>
      </c>
      <c r="AZ203" s="61">
        <v>0</v>
      </c>
      <c r="BA203" s="61" t="s">
        <v>453</v>
      </c>
      <c r="BB203" s="61" t="s">
        <v>455</v>
      </c>
      <c r="BC203" s="61" t="s">
        <v>454</v>
      </c>
      <c r="BD203" s="61" t="s">
        <v>462</v>
      </c>
      <c r="BE203" s="61" t="s">
        <v>456</v>
      </c>
      <c r="BF203" s="61" t="s">
        <v>456</v>
      </c>
      <c r="BG203" s="61" t="s">
        <v>456</v>
      </c>
      <c r="BH203" s="61" t="s">
        <v>456</v>
      </c>
      <c r="BI203" s="61" t="s">
        <v>456</v>
      </c>
      <c r="BJ203" s="61" t="s">
        <v>456</v>
      </c>
      <c r="BK203" s="61" t="s">
        <v>456</v>
      </c>
      <c r="BL203" s="61" t="s">
        <v>456</v>
      </c>
      <c r="BM203" s="61">
        <v>2568</v>
      </c>
      <c r="BN203" s="61">
        <v>2308</v>
      </c>
      <c r="BO203" s="61">
        <v>2803</v>
      </c>
      <c r="BP203" s="61">
        <v>1649</v>
      </c>
      <c r="BQ203" s="61">
        <v>0</v>
      </c>
      <c r="BR203" s="61">
        <v>0</v>
      </c>
      <c r="BS203" s="61">
        <v>0</v>
      </c>
      <c r="BT203" s="61">
        <v>0</v>
      </c>
      <c r="BU203" s="61">
        <v>0</v>
      </c>
      <c r="BV203" s="61">
        <v>0</v>
      </c>
      <c r="BW203" s="61">
        <v>0</v>
      </c>
      <c r="BX203" s="61">
        <v>0</v>
      </c>
      <c r="BY203" s="61" t="s">
        <v>487</v>
      </c>
      <c r="BZ203" s="61" t="s">
        <v>462</v>
      </c>
      <c r="CA203" s="61" t="s">
        <v>456</v>
      </c>
      <c r="CB203" s="66"/>
      <c r="CC203" s="61">
        <v>2</v>
      </c>
      <c r="CD203" s="61">
        <v>2</v>
      </c>
      <c r="CE203" s="61">
        <v>0</v>
      </c>
      <c r="CF203" s="61"/>
      <c r="CG203" s="61" t="s">
        <v>473</v>
      </c>
    </row>
    <row r="204" ht="13.5" spans="1:85">
      <c r="A204" s="61" t="s">
        <v>43</v>
      </c>
      <c r="B204" s="61" t="s">
        <v>812</v>
      </c>
      <c r="C204" s="61">
        <v>13950</v>
      </c>
      <c r="D204" s="61"/>
      <c r="E204" s="61" t="s">
        <v>813</v>
      </c>
      <c r="F204" s="61" t="b">
        <f>IF(COUNTIF(按提示输入属性!D15,E204)&gt;0,TRUE,FALSE)</f>
        <v>0</v>
      </c>
      <c r="G204" s="61"/>
      <c r="H204" s="61"/>
      <c r="I204" s="61"/>
      <c r="J204" s="61"/>
      <c r="K204" s="61">
        <v>487</v>
      </c>
      <c r="L204" s="61">
        <f>INT(K204*F342)</f>
        <v>523</v>
      </c>
      <c r="M204" s="61">
        <v>948</v>
      </c>
      <c r="N204" s="61">
        <f>INT(M204*F342)</f>
        <v>1019</v>
      </c>
      <c r="O204" s="61">
        <v>0</v>
      </c>
      <c r="P204" s="61">
        <f>INT(O204*F342)</f>
        <v>0</v>
      </c>
      <c r="Q204" s="61">
        <v>0</v>
      </c>
      <c r="R204" s="61">
        <f>INT(Q204*F342)</f>
        <v>0</v>
      </c>
      <c r="S204" s="61">
        <v>2444</v>
      </c>
      <c r="T204" s="61">
        <f>INT(S204*F342)</f>
        <v>2627</v>
      </c>
      <c r="U204" s="61">
        <v>2172</v>
      </c>
      <c r="V204" s="61">
        <f>INT(U204*F342)</f>
        <v>2335</v>
      </c>
      <c r="W204" s="61">
        <v>0</v>
      </c>
      <c r="X204" s="61">
        <f>INT(W204*F342)</f>
        <v>0</v>
      </c>
      <c r="Y204" s="61">
        <v>0</v>
      </c>
      <c r="Z204" s="61">
        <v>0</v>
      </c>
      <c r="AA204" s="61">
        <v>0</v>
      </c>
      <c r="AB204" s="61">
        <v>1</v>
      </c>
      <c r="AC204" s="61">
        <v>0</v>
      </c>
      <c r="AD204" s="61">
        <v>0</v>
      </c>
      <c r="AE204" s="61">
        <v>0</v>
      </c>
      <c r="AF204" s="61">
        <v>0</v>
      </c>
      <c r="AG204" s="61">
        <v>0</v>
      </c>
      <c r="AH204" s="61">
        <v>0</v>
      </c>
      <c r="AI204" s="61">
        <v>0</v>
      </c>
      <c r="AJ204" s="61"/>
      <c r="AK204" s="61"/>
      <c r="AL204" s="61"/>
      <c r="AM204" s="61"/>
      <c r="AN204" s="61"/>
      <c r="AO204" s="61"/>
      <c r="AP204" s="61" t="s">
        <v>465</v>
      </c>
      <c r="AQ204" s="61">
        <v>6</v>
      </c>
      <c r="AR204" s="61" t="s">
        <v>449</v>
      </c>
      <c r="AS204" s="61">
        <v>1</v>
      </c>
      <c r="AT204" s="61" t="s">
        <v>450</v>
      </c>
      <c r="AU204" s="61" t="s">
        <v>450</v>
      </c>
      <c r="AV204" s="61" t="s">
        <v>450</v>
      </c>
      <c r="AW204" s="61">
        <v>2512</v>
      </c>
      <c r="AX204" s="61">
        <v>0</v>
      </c>
      <c r="AY204" s="61">
        <v>0</v>
      </c>
      <c r="AZ204" s="61">
        <v>0</v>
      </c>
      <c r="BA204" s="61" t="s">
        <v>451</v>
      </c>
      <c r="BB204" s="61" t="s">
        <v>452</v>
      </c>
      <c r="BC204" s="61" t="s">
        <v>656</v>
      </c>
      <c r="BD204" s="61" t="s">
        <v>657</v>
      </c>
      <c r="BE204" s="61" t="s">
        <v>455</v>
      </c>
      <c r="BF204" s="61" t="s">
        <v>456</v>
      </c>
      <c r="BG204" s="61" t="s">
        <v>456</v>
      </c>
      <c r="BH204" s="61" t="s">
        <v>456</v>
      </c>
      <c r="BI204" s="61" t="s">
        <v>456</v>
      </c>
      <c r="BJ204" s="61" t="s">
        <v>456</v>
      </c>
      <c r="BK204" s="61" t="s">
        <v>456</v>
      </c>
      <c r="BL204" s="61" t="s">
        <v>456</v>
      </c>
      <c r="BM204" s="61">
        <v>6114</v>
      </c>
      <c r="BN204" s="61">
        <v>1186</v>
      </c>
      <c r="BO204" s="61">
        <v>5510</v>
      </c>
      <c r="BP204" s="61">
        <v>5949</v>
      </c>
      <c r="BQ204" s="61">
        <v>6346</v>
      </c>
      <c r="BR204" s="61">
        <v>0</v>
      </c>
      <c r="BS204" s="61">
        <v>0</v>
      </c>
      <c r="BT204" s="61">
        <v>0</v>
      </c>
      <c r="BU204" s="61">
        <v>0</v>
      </c>
      <c r="BV204" s="61">
        <v>0</v>
      </c>
      <c r="BW204" s="61">
        <v>0</v>
      </c>
      <c r="BX204" s="61">
        <v>0</v>
      </c>
      <c r="BY204" s="61" t="s">
        <v>656</v>
      </c>
      <c r="BZ204" s="61" t="s">
        <v>452</v>
      </c>
      <c r="CA204" s="61" t="s">
        <v>663</v>
      </c>
      <c r="CB204" s="66"/>
      <c r="CC204" s="61">
        <v>3</v>
      </c>
      <c r="CD204" s="61">
        <v>2</v>
      </c>
      <c r="CE204" s="61">
        <v>1</v>
      </c>
      <c r="CF204" s="61"/>
      <c r="CG204" s="61" t="s">
        <v>503</v>
      </c>
    </row>
    <row r="205" ht="13.5" spans="1:85">
      <c r="A205" s="61" t="s">
        <v>43</v>
      </c>
      <c r="B205" s="61" t="s">
        <v>814</v>
      </c>
      <c r="C205" s="61">
        <v>13950</v>
      </c>
      <c r="D205" s="61"/>
      <c r="E205" s="61" t="s">
        <v>815</v>
      </c>
      <c r="F205" s="61" t="b">
        <f>IF(COUNTIF(按提示输入属性!D15,E205)&gt;0,TRUE,FALSE)</f>
        <v>0</v>
      </c>
      <c r="G205" s="61"/>
      <c r="H205" s="61"/>
      <c r="I205" s="61"/>
      <c r="J205" s="61"/>
      <c r="K205" s="61">
        <v>487</v>
      </c>
      <c r="L205" s="61">
        <f>INT(K205*F342)</f>
        <v>523</v>
      </c>
      <c r="M205" s="61">
        <v>948</v>
      </c>
      <c r="N205" s="61">
        <f>INT(M205*F342)</f>
        <v>1019</v>
      </c>
      <c r="O205" s="61">
        <v>2444</v>
      </c>
      <c r="P205" s="61">
        <f>INT(O205*F342)</f>
        <v>2627</v>
      </c>
      <c r="Q205" s="61">
        <v>0</v>
      </c>
      <c r="R205" s="61">
        <f>INT(Q205*F342)</f>
        <v>0</v>
      </c>
      <c r="S205" s="61">
        <v>0</v>
      </c>
      <c r="T205" s="61">
        <f>INT(S205*F342)</f>
        <v>0</v>
      </c>
      <c r="U205" s="61">
        <v>2172</v>
      </c>
      <c r="V205" s="61">
        <f>INT(U205*F342)</f>
        <v>2335</v>
      </c>
      <c r="W205" s="61">
        <v>0</v>
      </c>
      <c r="X205" s="61">
        <f>INT(W205*F342)</f>
        <v>0</v>
      </c>
      <c r="Y205" s="61">
        <v>0</v>
      </c>
      <c r="Z205" s="61">
        <v>0</v>
      </c>
      <c r="AA205" s="61">
        <v>0</v>
      </c>
      <c r="AB205" s="61">
        <v>1</v>
      </c>
      <c r="AC205" s="61">
        <v>0</v>
      </c>
      <c r="AD205" s="61">
        <v>0</v>
      </c>
      <c r="AE205" s="61">
        <v>0</v>
      </c>
      <c r="AF205" s="61">
        <v>0</v>
      </c>
      <c r="AG205" s="61">
        <v>0</v>
      </c>
      <c r="AH205" s="61">
        <v>0</v>
      </c>
      <c r="AI205" s="61">
        <v>0</v>
      </c>
      <c r="AJ205" s="61"/>
      <c r="AK205" s="61"/>
      <c r="AL205" s="61"/>
      <c r="AM205" s="61"/>
      <c r="AN205" s="61"/>
      <c r="AO205" s="61"/>
      <c r="AP205" s="61" t="s">
        <v>468</v>
      </c>
      <c r="AQ205" s="61">
        <v>6</v>
      </c>
      <c r="AR205" s="61" t="s">
        <v>449</v>
      </c>
      <c r="AS205" s="61">
        <v>1</v>
      </c>
      <c r="AT205" s="61" t="s">
        <v>450</v>
      </c>
      <c r="AU205" s="61" t="s">
        <v>450</v>
      </c>
      <c r="AV205" s="61" t="s">
        <v>450</v>
      </c>
      <c r="AW205" s="61">
        <v>2512</v>
      </c>
      <c r="AX205" s="61">
        <v>0</v>
      </c>
      <c r="AY205" s="61">
        <v>0</v>
      </c>
      <c r="AZ205" s="61">
        <v>0</v>
      </c>
      <c r="BA205" s="61" t="s">
        <v>451</v>
      </c>
      <c r="BB205" s="61" t="s">
        <v>452</v>
      </c>
      <c r="BC205" s="61" t="s">
        <v>453</v>
      </c>
      <c r="BD205" s="61" t="s">
        <v>587</v>
      </c>
      <c r="BE205" s="61" t="s">
        <v>455</v>
      </c>
      <c r="BF205" s="61" t="s">
        <v>456</v>
      </c>
      <c r="BG205" s="61" t="s">
        <v>456</v>
      </c>
      <c r="BH205" s="61" t="s">
        <v>456</v>
      </c>
      <c r="BI205" s="61" t="s">
        <v>456</v>
      </c>
      <c r="BJ205" s="61" t="s">
        <v>456</v>
      </c>
      <c r="BK205" s="61" t="s">
        <v>456</v>
      </c>
      <c r="BL205" s="61" t="s">
        <v>456</v>
      </c>
      <c r="BM205" s="61">
        <v>3014</v>
      </c>
      <c r="BN205" s="61">
        <v>584</v>
      </c>
      <c r="BO205" s="61">
        <v>1138</v>
      </c>
      <c r="BP205" s="61">
        <v>2933</v>
      </c>
      <c r="BQ205" s="61">
        <v>2607</v>
      </c>
      <c r="BR205" s="61">
        <v>0</v>
      </c>
      <c r="BS205" s="61">
        <v>0</v>
      </c>
      <c r="BT205" s="61">
        <v>0</v>
      </c>
      <c r="BU205" s="61">
        <v>0</v>
      </c>
      <c r="BV205" s="61">
        <v>0</v>
      </c>
      <c r="BW205" s="61">
        <v>0</v>
      </c>
      <c r="BX205" s="61">
        <v>0</v>
      </c>
      <c r="BY205" s="61" t="s">
        <v>452</v>
      </c>
      <c r="BZ205" s="61" t="s">
        <v>456</v>
      </c>
      <c r="CA205" s="61" t="s">
        <v>456</v>
      </c>
      <c r="CB205" s="66"/>
      <c r="CC205" s="61">
        <v>1</v>
      </c>
      <c r="CD205" s="61">
        <v>0</v>
      </c>
      <c r="CE205" s="61">
        <v>1</v>
      </c>
      <c r="CF205" s="61"/>
      <c r="CG205" s="61" t="s">
        <v>449</v>
      </c>
    </row>
    <row r="206" s="55" customFormat="1" spans="1:85">
      <c r="A206" s="63" t="s">
        <v>43</v>
      </c>
      <c r="B206" s="63" t="s">
        <v>816</v>
      </c>
      <c r="C206" s="63">
        <v>13950</v>
      </c>
      <c r="D206" s="63"/>
      <c r="E206" s="63" t="s">
        <v>44</v>
      </c>
      <c r="F206" s="63" t="b">
        <f>IF(COUNTIF(按提示输入属性!D15,E206)&gt;0,TRUE,FALSE)</f>
        <v>1</v>
      </c>
      <c r="G206" s="63"/>
      <c r="H206" s="63"/>
      <c r="I206" s="63"/>
      <c r="J206" s="63"/>
      <c r="K206" s="63">
        <v>487</v>
      </c>
      <c r="L206" s="63">
        <f>INT(K206*F343)</f>
        <v>505</v>
      </c>
      <c r="M206" s="63">
        <v>948</v>
      </c>
      <c r="N206" s="63">
        <f>INT(M206*F343)</f>
        <v>984</v>
      </c>
      <c r="O206" s="63">
        <v>0</v>
      </c>
      <c r="P206" s="63">
        <f>INT(O206*F342)</f>
        <v>0</v>
      </c>
      <c r="Q206" s="63">
        <v>0</v>
      </c>
      <c r="R206" s="63">
        <f>INT(Q206*F342)</f>
        <v>0</v>
      </c>
      <c r="S206" s="63">
        <v>2444</v>
      </c>
      <c r="T206" s="63">
        <f>INT(S206*F343)</f>
        <v>2536</v>
      </c>
      <c r="U206" s="63">
        <v>0</v>
      </c>
      <c r="V206" s="63">
        <f>INT(U206*F342)</f>
        <v>0</v>
      </c>
      <c r="W206" s="63">
        <v>2172</v>
      </c>
      <c r="X206" s="63">
        <f>INT(W206*F343)</f>
        <v>2254</v>
      </c>
      <c r="Y206" s="63">
        <v>0</v>
      </c>
      <c r="Z206" s="63">
        <v>0</v>
      </c>
      <c r="AA206" s="63">
        <v>0</v>
      </c>
      <c r="AB206" s="63">
        <v>0</v>
      </c>
      <c r="AC206" s="63">
        <v>0</v>
      </c>
      <c r="AD206" s="63">
        <v>0</v>
      </c>
      <c r="AE206" s="63">
        <v>0</v>
      </c>
      <c r="AF206" s="63">
        <v>1</v>
      </c>
      <c r="AG206" s="63">
        <v>0</v>
      </c>
      <c r="AH206" s="63">
        <v>0</v>
      </c>
      <c r="AI206" s="63">
        <v>0</v>
      </c>
      <c r="AJ206" s="63"/>
      <c r="AK206" s="63"/>
      <c r="AL206" s="63"/>
      <c r="AM206" s="63"/>
      <c r="AN206" s="63"/>
      <c r="AO206" s="63">
        <v>2</v>
      </c>
      <c r="AP206" s="63" t="s">
        <v>817</v>
      </c>
      <c r="AQ206" s="63">
        <v>4</v>
      </c>
      <c r="AR206" s="63" t="s">
        <v>449</v>
      </c>
      <c r="AS206" s="63">
        <v>1</v>
      </c>
      <c r="AT206" s="63" t="s">
        <v>450</v>
      </c>
      <c r="AU206" s="63" t="s">
        <v>450</v>
      </c>
      <c r="AV206" s="63" t="s">
        <v>450</v>
      </c>
      <c r="AW206" s="63">
        <v>2512</v>
      </c>
      <c r="AX206" s="63">
        <v>0</v>
      </c>
      <c r="AY206" s="63">
        <v>0</v>
      </c>
      <c r="AZ206" s="63">
        <v>0</v>
      </c>
      <c r="BA206" s="63" t="s">
        <v>451</v>
      </c>
      <c r="BB206" s="63" t="s">
        <v>452</v>
      </c>
      <c r="BC206" s="63" t="s">
        <v>453</v>
      </c>
      <c r="BD206" s="63" t="s">
        <v>461</v>
      </c>
      <c r="BE206" s="63" t="s">
        <v>462</v>
      </c>
      <c r="BF206" s="63" t="s">
        <v>456</v>
      </c>
      <c r="BG206" s="63" t="s">
        <v>456</v>
      </c>
      <c r="BH206" s="63" t="s">
        <v>456</v>
      </c>
      <c r="BI206" s="63" t="s">
        <v>456</v>
      </c>
      <c r="BJ206" s="63" t="s">
        <v>456</v>
      </c>
      <c r="BK206" s="63" t="s">
        <v>456</v>
      </c>
      <c r="BL206" s="63" t="s">
        <v>456</v>
      </c>
      <c r="BM206" s="63">
        <v>3014</v>
      </c>
      <c r="BN206" s="63">
        <v>584</v>
      </c>
      <c r="BO206" s="63">
        <v>1138</v>
      </c>
      <c r="BP206" s="63">
        <v>2933</v>
      </c>
      <c r="BQ206" s="63">
        <v>2607</v>
      </c>
      <c r="BR206" s="63">
        <v>0</v>
      </c>
      <c r="BS206" s="63">
        <v>0</v>
      </c>
      <c r="BT206" s="63">
        <v>0</v>
      </c>
      <c r="BU206" s="63">
        <v>0</v>
      </c>
      <c r="BV206" s="63">
        <v>0</v>
      </c>
      <c r="BW206" s="63">
        <v>0</v>
      </c>
      <c r="BX206" s="63">
        <v>0</v>
      </c>
      <c r="BY206" s="63" t="s">
        <v>461</v>
      </c>
      <c r="BZ206" s="63" t="s">
        <v>456</v>
      </c>
      <c r="CA206" s="63" t="s">
        <v>456</v>
      </c>
      <c r="CB206" s="65"/>
      <c r="CC206" s="63">
        <v>1</v>
      </c>
      <c r="CD206" s="63">
        <v>1</v>
      </c>
      <c r="CE206" s="63">
        <v>0</v>
      </c>
      <c r="CF206" s="63"/>
      <c r="CG206" s="63" t="s">
        <v>449</v>
      </c>
    </row>
    <row r="207" s="56" customFormat="1" spans="1:85">
      <c r="A207" s="62" t="s">
        <v>43</v>
      </c>
      <c r="B207" s="62" t="s">
        <v>818</v>
      </c>
      <c r="C207" s="62">
        <v>13550</v>
      </c>
      <c r="D207" s="62"/>
      <c r="E207" s="62" t="s">
        <v>819</v>
      </c>
      <c r="F207" s="62" t="b">
        <f>IF(COUNTIF(按提示输入属性!D15,E207)&gt;0,TRUE,FALSE)</f>
        <v>0</v>
      </c>
      <c r="G207" s="62"/>
      <c r="H207" s="62"/>
      <c r="I207" s="62"/>
      <c r="J207" s="62"/>
      <c r="K207" s="62">
        <v>0</v>
      </c>
      <c r="L207" s="62">
        <f>INT(K207*F342)</f>
        <v>0</v>
      </c>
      <c r="M207" s="62">
        <v>2409</v>
      </c>
      <c r="N207" s="62">
        <f>INT(M207*F344)</f>
        <v>2467</v>
      </c>
      <c r="O207" s="62">
        <v>4681</v>
      </c>
      <c r="P207" s="62">
        <f>INT(O207*F344)</f>
        <v>4793</v>
      </c>
      <c r="Q207" s="62">
        <v>0</v>
      </c>
      <c r="R207" s="62">
        <f>INT(Q207*F344)</f>
        <v>0</v>
      </c>
      <c r="S207" s="62">
        <v>0</v>
      </c>
      <c r="T207" s="62">
        <f>INT(S207*F344)</f>
        <v>0</v>
      </c>
      <c r="U207" s="62">
        <v>0</v>
      </c>
      <c r="V207" s="62">
        <f>INT(U207*F344)</f>
        <v>0</v>
      </c>
      <c r="W207" s="62">
        <v>0</v>
      </c>
      <c r="X207" s="62">
        <f>INT(W207*F342)</f>
        <v>0</v>
      </c>
      <c r="Y207" s="62">
        <v>0</v>
      </c>
      <c r="Z207" s="62">
        <v>0</v>
      </c>
      <c r="AA207" s="62">
        <v>0</v>
      </c>
      <c r="AB207" s="62">
        <v>0</v>
      </c>
      <c r="AC207" s="62">
        <v>0</v>
      </c>
      <c r="AD207" s="62">
        <v>0</v>
      </c>
      <c r="AE207" s="62">
        <v>1</v>
      </c>
      <c r="AF207" s="62">
        <v>0</v>
      </c>
      <c r="AG207" s="62">
        <v>0</v>
      </c>
      <c r="AH207" s="62">
        <v>0</v>
      </c>
      <c r="AI207" s="62">
        <v>0</v>
      </c>
      <c r="AJ207" s="62"/>
      <c r="AK207" s="62"/>
      <c r="AL207" s="62"/>
      <c r="AM207" s="62"/>
      <c r="AN207" s="62"/>
      <c r="AO207" s="62"/>
      <c r="AP207" s="62" t="s">
        <v>472</v>
      </c>
      <c r="AQ207" s="62">
        <v>3</v>
      </c>
      <c r="AR207" s="62" t="s">
        <v>473</v>
      </c>
      <c r="AS207" s="62">
        <v>1</v>
      </c>
      <c r="AT207" s="62" t="s">
        <v>450</v>
      </c>
      <c r="AU207" s="62" t="s">
        <v>450</v>
      </c>
      <c r="AV207" s="62" t="s">
        <v>450</v>
      </c>
      <c r="AW207" s="62">
        <v>0</v>
      </c>
      <c r="AX207" s="62">
        <v>0</v>
      </c>
      <c r="AY207" s="62">
        <v>0</v>
      </c>
      <c r="AZ207" s="62">
        <v>0</v>
      </c>
      <c r="BA207" s="62" t="s">
        <v>451</v>
      </c>
      <c r="BB207" s="62" t="s">
        <v>452</v>
      </c>
      <c r="BC207" s="62" t="s">
        <v>656</v>
      </c>
      <c r="BD207" s="62" t="s">
        <v>657</v>
      </c>
      <c r="BE207" s="62" t="s">
        <v>462</v>
      </c>
      <c r="BF207" s="62" t="s">
        <v>456</v>
      </c>
      <c r="BG207" s="62" t="s">
        <v>456</v>
      </c>
      <c r="BH207" s="62" t="s">
        <v>456</v>
      </c>
      <c r="BI207" s="62" t="s">
        <v>456</v>
      </c>
      <c r="BJ207" s="62" t="s">
        <v>456</v>
      </c>
      <c r="BK207" s="62" t="s">
        <v>456</v>
      </c>
      <c r="BL207" s="62" t="s">
        <v>456</v>
      </c>
      <c r="BM207" s="62">
        <v>6028</v>
      </c>
      <c r="BN207" s="62">
        <v>1169</v>
      </c>
      <c r="BO207" s="62">
        <v>5432</v>
      </c>
      <c r="BP207" s="62">
        <v>5865</v>
      </c>
      <c r="BQ207" s="62">
        <v>6256</v>
      </c>
      <c r="BR207" s="62">
        <v>0</v>
      </c>
      <c r="BS207" s="62">
        <v>0</v>
      </c>
      <c r="BT207" s="62">
        <v>0</v>
      </c>
      <c r="BU207" s="62">
        <v>0</v>
      </c>
      <c r="BV207" s="62">
        <v>0</v>
      </c>
      <c r="BW207" s="62">
        <v>0</v>
      </c>
      <c r="BX207" s="62">
        <v>0</v>
      </c>
      <c r="BY207" s="62" t="s">
        <v>667</v>
      </c>
      <c r="BZ207" s="62" t="s">
        <v>657</v>
      </c>
      <c r="CA207" s="62" t="s">
        <v>452</v>
      </c>
      <c r="CB207" s="64"/>
      <c r="CC207" s="62">
        <v>3</v>
      </c>
      <c r="CD207" s="62">
        <v>2</v>
      </c>
      <c r="CE207" s="62">
        <v>1</v>
      </c>
      <c r="CF207" s="62"/>
      <c r="CG207" s="62" t="s">
        <v>449</v>
      </c>
    </row>
    <row r="208" s="56" customFormat="1" spans="1:85">
      <c r="A208" s="62" t="s">
        <v>43</v>
      </c>
      <c r="B208" s="62" t="s">
        <v>818</v>
      </c>
      <c r="C208" s="62">
        <v>13550</v>
      </c>
      <c r="D208" s="62"/>
      <c r="E208" s="62" t="s">
        <v>820</v>
      </c>
      <c r="F208" s="62" t="b">
        <f>IF(COUNTIF(按提示输入属性!D15,E208)&gt;0,TRUE,FALSE)</f>
        <v>0</v>
      </c>
      <c r="G208" s="62"/>
      <c r="H208" s="62"/>
      <c r="I208" s="62"/>
      <c r="J208" s="62"/>
      <c r="K208" s="62">
        <v>0</v>
      </c>
      <c r="L208" s="62">
        <f>INT(K208*F342)</f>
        <v>0</v>
      </c>
      <c r="M208" s="62">
        <v>2054</v>
      </c>
      <c r="N208" s="62">
        <f>INT(M208*F344)</f>
        <v>2103</v>
      </c>
      <c r="O208" s="62">
        <v>2703</v>
      </c>
      <c r="P208" s="62">
        <f>INT(O208*F344)</f>
        <v>2768</v>
      </c>
      <c r="Q208" s="62">
        <v>0</v>
      </c>
      <c r="R208" s="62">
        <f>INT(Q208*F344)</f>
        <v>0</v>
      </c>
      <c r="S208" s="62">
        <v>2703</v>
      </c>
      <c r="T208" s="62">
        <f>INT(S208*F344)</f>
        <v>2768</v>
      </c>
      <c r="U208" s="62">
        <v>0</v>
      </c>
      <c r="V208" s="62">
        <f>INT(U208*F344)</f>
        <v>0</v>
      </c>
      <c r="W208" s="62">
        <v>0</v>
      </c>
      <c r="X208" s="62">
        <f>INT(W208*F342)</f>
        <v>0</v>
      </c>
      <c r="Y208" s="62">
        <v>0</v>
      </c>
      <c r="Z208" s="62">
        <v>0</v>
      </c>
      <c r="AA208" s="62">
        <v>0</v>
      </c>
      <c r="AB208" s="62">
        <v>0</v>
      </c>
      <c r="AC208" s="62">
        <v>0</v>
      </c>
      <c r="AD208" s="62">
        <v>0</v>
      </c>
      <c r="AE208" s="62">
        <v>0</v>
      </c>
      <c r="AF208" s="62">
        <v>0</v>
      </c>
      <c r="AG208" s="62">
        <v>1</v>
      </c>
      <c r="AH208" s="62">
        <v>0</v>
      </c>
      <c r="AI208" s="62">
        <v>0</v>
      </c>
      <c r="AJ208" s="62"/>
      <c r="AK208" s="62"/>
      <c r="AL208" s="62"/>
      <c r="AM208" s="62"/>
      <c r="AN208" s="62"/>
      <c r="AO208" s="62"/>
      <c r="AP208" s="62" t="s">
        <v>536</v>
      </c>
      <c r="AQ208" s="62">
        <v>3</v>
      </c>
      <c r="AR208" s="62" t="s">
        <v>473</v>
      </c>
      <c r="AS208" s="62">
        <v>1</v>
      </c>
      <c r="AT208" s="62" t="s">
        <v>450</v>
      </c>
      <c r="AU208" s="62" t="s">
        <v>450</v>
      </c>
      <c r="AV208" s="62" t="s">
        <v>450</v>
      </c>
      <c r="AW208" s="62">
        <v>0</v>
      </c>
      <c r="AX208" s="62">
        <v>0</v>
      </c>
      <c r="AY208" s="62">
        <v>0</v>
      </c>
      <c r="AZ208" s="62">
        <v>0</v>
      </c>
      <c r="BA208" s="62" t="s">
        <v>451</v>
      </c>
      <c r="BB208" s="62" t="s">
        <v>452</v>
      </c>
      <c r="BC208" s="62" t="s">
        <v>656</v>
      </c>
      <c r="BD208" s="62" t="s">
        <v>663</v>
      </c>
      <c r="BE208" s="62" t="s">
        <v>462</v>
      </c>
      <c r="BF208" s="62" t="s">
        <v>821</v>
      </c>
      <c r="BG208" s="62" t="s">
        <v>456</v>
      </c>
      <c r="BH208" s="62" t="s">
        <v>456</v>
      </c>
      <c r="BI208" s="62" t="s">
        <v>456</v>
      </c>
      <c r="BJ208" s="62" t="s">
        <v>456</v>
      </c>
      <c r="BK208" s="62" t="s">
        <v>456</v>
      </c>
      <c r="BL208" s="62" t="s">
        <v>456</v>
      </c>
      <c r="BM208" s="62">
        <v>6028</v>
      </c>
      <c r="BN208" s="62">
        <v>1169</v>
      </c>
      <c r="BO208" s="62">
        <v>5432</v>
      </c>
      <c r="BP208" s="62">
        <v>5865</v>
      </c>
      <c r="BQ208" s="62">
        <v>6256</v>
      </c>
      <c r="BR208" s="62">
        <v>2539</v>
      </c>
      <c r="BS208" s="62">
        <v>0</v>
      </c>
      <c r="BT208" s="62">
        <v>0</v>
      </c>
      <c r="BU208" s="62">
        <v>0</v>
      </c>
      <c r="BV208" s="62">
        <v>0</v>
      </c>
      <c r="BW208" s="62">
        <v>0</v>
      </c>
      <c r="BX208" s="62">
        <v>0</v>
      </c>
      <c r="BY208" s="62" t="s">
        <v>656</v>
      </c>
      <c r="BZ208" s="62" t="s">
        <v>452</v>
      </c>
      <c r="CA208" s="62" t="s">
        <v>663</v>
      </c>
      <c r="CB208" s="64"/>
      <c r="CC208" s="62">
        <v>3</v>
      </c>
      <c r="CD208" s="62">
        <v>2</v>
      </c>
      <c r="CE208" s="62">
        <v>1</v>
      </c>
      <c r="CF208" s="62"/>
      <c r="CG208" s="62" t="s">
        <v>449</v>
      </c>
    </row>
    <row r="209" s="56" customFormat="1" spans="1:85">
      <c r="A209" s="62" t="s">
        <v>43</v>
      </c>
      <c r="B209" s="62" t="s">
        <v>818</v>
      </c>
      <c r="C209" s="62">
        <v>13550</v>
      </c>
      <c r="D209" s="62"/>
      <c r="E209" s="62" t="s">
        <v>822</v>
      </c>
      <c r="F209" s="62" t="b">
        <f>IF(COUNTIF(按提示输入属性!D15,E209)&gt;0,TRUE,FALSE)</f>
        <v>0</v>
      </c>
      <c r="G209" s="62"/>
      <c r="H209" s="62"/>
      <c r="I209" s="62"/>
      <c r="J209" s="62"/>
      <c r="K209" s="62">
        <v>0</v>
      </c>
      <c r="L209" s="62">
        <f>INT(K209*F342)</f>
        <v>0</v>
      </c>
      <c r="M209" s="62">
        <v>2054</v>
      </c>
      <c r="N209" s="62">
        <f>INT(M209*F344)</f>
        <v>2103</v>
      </c>
      <c r="O209" s="62">
        <v>2044</v>
      </c>
      <c r="P209" s="62">
        <f>INT(O209*F344)</f>
        <v>2093</v>
      </c>
      <c r="Q209" s="62">
        <v>1319</v>
      </c>
      <c r="R209" s="62">
        <f>INT(Q209*F344)</f>
        <v>1350</v>
      </c>
      <c r="S209" s="62">
        <v>1912</v>
      </c>
      <c r="T209" s="62">
        <f>INT(S209*F344)</f>
        <v>1958</v>
      </c>
      <c r="U209" s="62">
        <v>0</v>
      </c>
      <c r="V209" s="62">
        <f>INT(U209*F344)</f>
        <v>0</v>
      </c>
      <c r="W209" s="62">
        <v>0</v>
      </c>
      <c r="X209" s="62">
        <f>INT(W209*F342)</f>
        <v>0</v>
      </c>
      <c r="Y209" s="62">
        <v>0</v>
      </c>
      <c r="Z209" s="62">
        <v>0</v>
      </c>
      <c r="AA209" s="62">
        <v>0</v>
      </c>
      <c r="AB209" s="62">
        <v>0</v>
      </c>
      <c r="AC209" s="62">
        <v>0</v>
      </c>
      <c r="AD209" s="62">
        <v>0</v>
      </c>
      <c r="AE209" s="62">
        <v>0</v>
      </c>
      <c r="AF209" s="62">
        <v>0</v>
      </c>
      <c r="AG209" s="62">
        <v>1</v>
      </c>
      <c r="AH209" s="62">
        <v>0</v>
      </c>
      <c r="AI209" s="62">
        <v>0</v>
      </c>
      <c r="AJ209" s="62"/>
      <c r="AK209" s="62"/>
      <c r="AL209" s="62"/>
      <c r="AM209" s="62"/>
      <c r="AN209" s="62"/>
      <c r="AO209" s="62"/>
      <c r="AP209" s="62" t="s">
        <v>514</v>
      </c>
      <c r="AQ209" s="62">
        <v>3</v>
      </c>
      <c r="AR209" s="62" t="s">
        <v>473</v>
      </c>
      <c r="AS209" s="62">
        <v>1</v>
      </c>
      <c r="AT209" s="62" t="s">
        <v>450</v>
      </c>
      <c r="AU209" s="62" t="s">
        <v>450</v>
      </c>
      <c r="AV209" s="62" t="s">
        <v>450</v>
      </c>
      <c r="AW209" s="62">
        <v>0</v>
      </c>
      <c r="AX209" s="62">
        <v>0</v>
      </c>
      <c r="AY209" s="62">
        <v>0</v>
      </c>
      <c r="AZ209" s="62">
        <v>0</v>
      </c>
      <c r="BA209" s="62" t="s">
        <v>451</v>
      </c>
      <c r="BB209" s="62" t="s">
        <v>452</v>
      </c>
      <c r="BC209" s="62" t="s">
        <v>453</v>
      </c>
      <c r="BD209" s="62" t="s">
        <v>454</v>
      </c>
      <c r="BE209" s="62" t="s">
        <v>455</v>
      </c>
      <c r="BF209" s="62" t="s">
        <v>456</v>
      </c>
      <c r="BG209" s="62" t="s">
        <v>456</v>
      </c>
      <c r="BH209" s="62" t="s">
        <v>456</v>
      </c>
      <c r="BI209" s="62" t="s">
        <v>456</v>
      </c>
      <c r="BJ209" s="62" t="s">
        <v>456</v>
      </c>
      <c r="BK209" s="62" t="s">
        <v>456</v>
      </c>
      <c r="BL209" s="62" t="s">
        <v>456</v>
      </c>
      <c r="BM209" s="62">
        <v>3014</v>
      </c>
      <c r="BN209" s="62">
        <v>584</v>
      </c>
      <c r="BO209" s="62">
        <v>1138</v>
      </c>
      <c r="BP209" s="62">
        <v>2933</v>
      </c>
      <c r="BQ209" s="62">
        <v>2607</v>
      </c>
      <c r="BR209" s="62">
        <v>0</v>
      </c>
      <c r="BS209" s="62">
        <v>0</v>
      </c>
      <c r="BT209" s="62">
        <v>0</v>
      </c>
      <c r="BU209" s="62">
        <v>0</v>
      </c>
      <c r="BV209" s="62">
        <v>0</v>
      </c>
      <c r="BW209" s="62">
        <v>0</v>
      </c>
      <c r="BX209" s="62">
        <v>0</v>
      </c>
      <c r="BY209" s="62" t="s">
        <v>452</v>
      </c>
      <c r="BZ209" s="62" t="s">
        <v>456</v>
      </c>
      <c r="CA209" s="62" t="s">
        <v>456</v>
      </c>
      <c r="CB209" s="64"/>
      <c r="CC209" s="62">
        <v>1</v>
      </c>
      <c r="CD209" s="62">
        <v>0</v>
      </c>
      <c r="CE209" s="62">
        <v>1</v>
      </c>
      <c r="CF209" s="62"/>
      <c r="CG209" s="62" t="s">
        <v>449</v>
      </c>
    </row>
    <row r="210" ht="13.5" spans="1:85">
      <c r="A210" s="61" t="s">
        <v>43</v>
      </c>
      <c r="B210" s="61" t="s">
        <v>810</v>
      </c>
      <c r="C210" s="61">
        <v>13300</v>
      </c>
      <c r="D210" s="61"/>
      <c r="E210" s="61" t="s">
        <v>823</v>
      </c>
      <c r="F210" s="61" t="b">
        <f>IF(COUNTIF(按提示输入属性!D15,E210)&gt;0,TRUE,FALSE)</f>
        <v>0</v>
      </c>
      <c r="G210" s="61"/>
      <c r="H210" s="61"/>
      <c r="I210" s="61"/>
      <c r="J210" s="61"/>
      <c r="K210" s="61">
        <v>464</v>
      </c>
      <c r="L210" s="61">
        <f>INT(K210*F342)</f>
        <v>498</v>
      </c>
      <c r="M210" s="61">
        <v>904</v>
      </c>
      <c r="N210" s="61">
        <f>INT(M210*F342)</f>
        <v>972</v>
      </c>
      <c r="O210" s="61">
        <v>2330</v>
      </c>
      <c r="P210" s="61">
        <f>INT(O210*F342)</f>
        <v>2505</v>
      </c>
      <c r="Q210" s="61">
        <v>0</v>
      </c>
      <c r="R210" s="61">
        <f>INT(Q210*F342)</f>
        <v>0</v>
      </c>
      <c r="S210" s="61">
        <v>0</v>
      </c>
      <c r="T210" s="61">
        <v>0</v>
      </c>
      <c r="U210" s="61">
        <v>0</v>
      </c>
      <c r="V210" s="61">
        <f>INT(U210*F342)</f>
        <v>0</v>
      </c>
      <c r="W210" s="61">
        <v>2071</v>
      </c>
      <c r="X210" s="61">
        <f>INT(W210*F342)</f>
        <v>2226</v>
      </c>
      <c r="Y210" s="61">
        <v>0</v>
      </c>
      <c r="Z210" s="61">
        <v>0</v>
      </c>
      <c r="AA210" s="61">
        <v>0</v>
      </c>
      <c r="AB210" s="61">
        <v>0</v>
      </c>
      <c r="AC210" s="61">
        <v>0</v>
      </c>
      <c r="AD210" s="61">
        <v>0</v>
      </c>
      <c r="AE210" s="61">
        <v>0</v>
      </c>
      <c r="AF210" s="61">
        <v>0</v>
      </c>
      <c r="AG210" s="61">
        <v>0</v>
      </c>
      <c r="AH210" s="61">
        <v>1</v>
      </c>
      <c r="AI210" s="61">
        <v>0</v>
      </c>
      <c r="AJ210" s="61"/>
      <c r="AK210" s="61"/>
      <c r="AL210" s="61"/>
      <c r="AM210" s="61"/>
      <c r="AN210" s="61"/>
      <c r="AO210" s="61"/>
      <c r="AP210" s="61" t="s">
        <v>460</v>
      </c>
      <c r="AQ210" s="61">
        <v>6</v>
      </c>
      <c r="AR210" s="61" t="s">
        <v>458</v>
      </c>
      <c r="AS210" s="61">
        <v>1</v>
      </c>
      <c r="AT210" s="61" t="s">
        <v>450</v>
      </c>
      <c r="AU210" s="61" t="s">
        <v>450</v>
      </c>
      <c r="AV210" s="61" t="s">
        <v>450</v>
      </c>
      <c r="AW210" s="61">
        <v>2395</v>
      </c>
      <c r="AX210" s="61">
        <v>0</v>
      </c>
      <c r="AY210" s="61">
        <v>0</v>
      </c>
      <c r="AZ210" s="61">
        <v>0</v>
      </c>
      <c r="BA210" s="61" t="s">
        <v>451</v>
      </c>
      <c r="BB210" s="61" t="s">
        <v>452</v>
      </c>
      <c r="BC210" s="61" t="s">
        <v>453</v>
      </c>
      <c r="BD210" s="61" t="s">
        <v>461</v>
      </c>
      <c r="BE210" s="61" t="s">
        <v>455</v>
      </c>
      <c r="BF210" s="61" t="s">
        <v>456</v>
      </c>
      <c r="BG210" s="61" t="s">
        <v>456</v>
      </c>
      <c r="BH210" s="61" t="s">
        <v>456</v>
      </c>
      <c r="BI210" s="61" t="s">
        <v>456</v>
      </c>
      <c r="BJ210" s="61" t="s">
        <v>456</v>
      </c>
      <c r="BK210" s="61" t="s">
        <v>456</v>
      </c>
      <c r="BL210" s="61" t="s">
        <v>456</v>
      </c>
      <c r="BM210" s="61">
        <v>3014</v>
      </c>
      <c r="BN210" s="61">
        <v>584</v>
      </c>
      <c r="BO210" s="61">
        <v>1138</v>
      </c>
      <c r="BP210" s="61">
        <v>2933</v>
      </c>
      <c r="BQ210" s="61">
        <v>2607</v>
      </c>
      <c r="BR210" s="61">
        <v>0</v>
      </c>
      <c r="BS210" s="61">
        <v>0</v>
      </c>
      <c r="BT210" s="61">
        <v>0</v>
      </c>
      <c r="BU210" s="61">
        <v>0</v>
      </c>
      <c r="BV210" s="61">
        <v>0</v>
      </c>
      <c r="BW210" s="61">
        <v>0</v>
      </c>
      <c r="BX210" s="61">
        <v>0</v>
      </c>
      <c r="BY210" s="61" t="s">
        <v>452</v>
      </c>
      <c r="BZ210" s="61" t="s">
        <v>456</v>
      </c>
      <c r="CA210" s="61" t="s">
        <v>456</v>
      </c>
      <c r="CB210" s="66"/>
      <c r="CC210" s="61">
        <v>1</v>
      </c>
      <c r="CD210" s="61">
        <v>0</v>
      </c>
      <c r="CE210" s="61">
        <v>1</v>
      </c>
      <c r="CF210" s="61"/>
      <c r="CG210" s="61" t="s">
        <v>557</v>
      </c>
    </row>
    <row r="211" s="56" customFormat="1" spans="1:85">
      <c r="A211" s="62" t="s">
        <v>43</v>
      </c>
      <c r="B211" s="62" t="s">
        <v>818</v>
      </c>
      <c r="C211" s="62">
        <v>12800</v>
      </c>
      <c r="D211" s="62"/>
      <c r="E211" s="62" t="s">
        <v>824</v>
      </c>
      <c r="F211" s="62" t="b">
        <f>IF(COUNTIF(按提示输入属性!D15,E211)&gt;0,TRUE,FALSE)</f>
        <v>0</v>
      </c>
      <c r="G211" s="62"/>
      <c r="H211" s="62"/>
      <c r="I211" s="62"/>
      <c r="J211" s="62"/>
      <c r="K211" s="62">
        <v>0</v>
      </c>
      <c r="L211" s="62">
        <f>INT(K211*F342)</f>
        <v>0</v>
      </c>
      <c r="M211" s="62">
        <v>2275</v>
      </c>
      <c r="N211" s="62">
        <f>INT(M211*F344)</f>
        <v>2329</v>
      </c>
      <c r="O211" s="62">
        <v>0</v>
      </c>
      <c r="P211" s="61">
        <f>INT(O211*F344)</f>
        <v>0</v>
      </c>
      <c r="Q211" s="62">
        <v>0</v>
      </c>
      <c r="R211" s="61">
        <f>INT(Q211*F344)</f>
        <v>0</v>
      </c>
      <c r="S211" s="62">
        <v>0</v>
      </c>
      <c r="T211" s="61">
        <f>INT(S211*F344)</f>
        <v>0</v>
      </c>
      <c r="U211" s="62">
        <v>0</v>
      </c>
      <c r="V211" s="61">
        <f>INT(U211*F344)</f>
        <v>0</v>
      </c>
      <c r="W211" s="62">
        <v>4422</v>
      </c>
      <c r="X211" s="61">
        <f>INT(W211*F344)</f>
        <v>4528</v>
      </c>
      <c r="Y211" s="62">
        <v>0</v>
      </c>
      <c r="Z211" s="62">
        <v>0</v>
      </c>
      <c r="AA211" s="62">
        <v>0</v>
      </c>
      <c r="AB211" s="62">
        <v>0</v>
      </c>
      <c r="AC211" s="62">
        <v>0</v>
      </c>
      <c r="AD211" s="62">
        <v>1</v>
      </c>
      <c r="AE211" s="62">
        <v>0</v>
      </c>
      <c r="AF211" s="62">
        <v>0</v>
      </c>
      <c r="AG211" s="62">
        <v>0</v>
      </c>
      <c r="AH211" s="62">
        <v>0</v>
      </c>
      <c r="AI211" s="62">
        <v>0</v>
      </c>
      <c r="AJ211" s="62"/>
      <c r="AK211" s="62"/>
      <c r="AL211" s="62"/>
      <c r="AM211" s="62"/>
      <c r="AN211" s="62"/>
      <c r="AO211" s="62"/>
      <c r="AP211" s="62" t="s">
        <v>568</v>
      </c>
      <c r="AQ211" s="62">
        <v>3</v>
      </c>
      <c r="AR211" s="62" t="s">
        <v>473</v>
      </c>
      <c r="AS211" s="62">
        <v>1</v>
      </c>
      <c r="AT211" s="62" t="s">
        <v>450</v>
      </c>
      <c r="AU211" s="62" t="s">
        <v>450</v>
      </c>
      <c r="AV211" s="62" t="s">
        <v>450</v>
      </c>
      <c r="AW211" s="62">
        <v>0</v>
      </c>
      <c r="AX211" s="62">
        <v>0</v>
      </c>
      <c r="AY211" s="62">
        <v>0</v>
      </c>
      <c r="AZ211" s="62">
        <v>0</v>
      </c>
      <c r="BA211" s="62" t="s">
        <v>451</v>
      </c>
      <c r="BB211" s="62" t="s">
        <v>452</v>
      </c>
      <c r="BC211" s="62" t="s">
        <v>656</v>
      </c>
      <c r="BD211" s="62" t="s">
        <v>663</v>
      </c>
      <c r="BE211" s="62" t="s">
        <v>455</v>
      </c>
      <c r="BF211" s="62" t="s">
        <v>456</v>
      </c>
      <c r="BG211" s="62" t="s">
        <v>456</v>
      </c>
      <c r="BH211" s="62" t="s">
        <v>456</v>
      </c>
      <c r="BI211" s="62" t="s">
        <v>456</v>
      </c>
      <c r="BJ211" s="62" t="s">
        <v>456</v>
      </c>
      <c r="BK211" s="62" t="s">
        <v>456</v>
      </c>
      <c r="BL211" s="62" t="s">
        <v>456</v>
      </c>
      <c r="BM211" s="62">
        <v>6028</v>
      </c>
      <c r="BN211" s="62">
        <v>1169</v>
      </c>
      <c r="BO211" s="62">
        <v>5432</v>
      </c>
      <c r="BP211" s="62">
        <v>5865</v>
      </c>
      <c r="BQ211" s="62">
        <v>6256</v>
      </c>
      <c r="BR211" s="62">
        <v>0</v>
      </c>
      <c r="BS211" s="62">
        <v>0</v>
      </c>
      <c r="BT211" s="62">
        <v>0</v>
      </c>
      <c r="BU211" s="62">
        <v>0</v>
      </c>
      <c r="BV211" s="62">
        <v>0</v>
      </c>
      <c r="BW211" s="62">
        <v>0</v>
      </c>
      <c r="BX211" s="62">
        <v>0</v>
      </c>
      <c r="BY211" s="62" t="s">
        <v>452</v>
      </c>
      <c r="BZ211" s="62" t="s">
        <v>656</v>
      </c>
      <c r="CA211" s="62" t="s">
        <v>663</v>
      </c>
      <c r="CB211" s="64"/>
      <c r="CC211" s="62">
        <v>3</v>
      </c>
      <c r="CD211" s="62">
        <v>2</v>
      </c>
      <c r="CE211" s="62">
        <v>1</v>
      </c>
      <c r="CF211" s="62"/>
      <c r="CG211" s="62" t="s">
        <v>557</v>
      </c>
    </row>
    <row r="212" s="56" customFormat="1" spans="1:85">
      <c r="A212" s="62" t="s">
        <v>43</v>
      </c>
      <c r="B212" s="62" t="s">
        <v>818</v>
      </c>
      <c r="C212" s="62">
        <v>12800</v>
      </c>
      <c r="D212" s="62"/>
      <c r="E212" s="62" t="s">
        <v>825</v>
      </c>
      <c r="F212" s="62" t="b">
        <f>IF(COUNTIF(按提示输入属性!D15,E212)&gt;0,TRUE,FALSE)</f>
        <v>0</v>
      </c>
      <c r="G212" s="62"/>
      <c r="H212" s="62"/>
      <c r="I212" s="62"/>
      <c r="J212" s="62"/>
      <c r="K212" s="62">
        <v>0</v>
      </c>
      <c r="L212" s="62">
        <f>INT(K212*F342)</f>
        <v>0</v>
      </c>
      <c r="M212" s="62">
        <v>1941</v>
      </c>
      <c r="N212" s="62">
        <f>INT(M212*F344)</f>
        <v>1987</v>
      </c>
      <c r="O212" s="62">
        <v>0</v>
      </c>
      <c r="P212" s="61">
        <f>INT(O212*F344)</f>
        <v>0</v>
      </c>
      <c r="Q212" s="62">
        <v>0</v>
      </c>
      <c r="R212" s="61">
        <f>INT(Q212*F344)</f>
        <v>0</v>
      </c>
      <c r="S212" s="62">
        <v>2616</v>
      </c>
      <c r="T212" s="61">
        <f>INT(S212*F344)</f>
        <v>2679</v>
      </c>
      <c r="U212" s="62">
        <v>2491</v>
      </c>
      <c r="V212" s="61">
        <f>INT(U212*F344)</f>
        <v>2551</v>
      </c>
      <c r="W212" s="62">
        <v>0</v>
      </c>
      <c r="X212" s="61">
        <f>INT(W212*F344)</f>
        <v>0</v>
      </c>
      <c r="Y212" s="62">
        <v>0</v>
      </c>
      <c r="Z212" s="62">
        <v>0</v>
      </c>
      <c r="AA212" s="62">
        <v>0</v>
      </c>
      <c r="AB212" s="62">
        <v>0</v>
      </c>
      <c r="AC212" s="62">
        <v>0</v>
      </c>
      <c r="AD212" s="62">
        <v>1</v>
      </c>
      <c r="AE212" s="62">
        <v>0</v>
      </c>
      <c r="AF212" s="62">
        <v>0</v>
      </c>
      <c r="AG212" s="62">
        <v>0</v>
      </c>
      <c r="AH212" s="62">
        <v>0</v>
      </c>
      <c r="AI212" s="62">
        <v>0</v>
      </c>
      <c r="AJ212" s="62"/>
      <c r="AK212" s="62"/>
      <c r="AL212" s="62"/>
      <c r="AM212" s="62"/>
      <c r="AN212" s="62"/>
      <c r="AO212" s="62"/>
      <c r="AP212" s="62" t="s">
        <v>475</v>
      </c>
      <c r="AQ212" s="62">
        <v>3</v>
      </c>
      <c r="AR212" s="62" t="s">
        <v>473</v>
      </c>
      <c r="AS212" s="62">
        <v>1</v>
      </c>
      <c r="AT212" s="62" t="s">
        <v>450</v>
      </c>
      <c r="AU212" s="62" t="s">
        <v>450</v>
      </c>
      <c r="AV212" s="62" t="s">
        <v>450</v>
      </c>
      <c r="AW212" s="62">
        <v>0</v>
      </c>
      <c r="AX212" s="62">
        <v>0</v>
      </c>
      <c r="AY212" s="62">
        <v>0</v>
      </c>
      <c r="AZ212" s="62">
        <v>0</v>
      </c>
      <c r="BA212" s="62" t="s">
        <v>453</v>
      </c>
      <c r="BB212" s="62" t="s">
        <v>487</v>
      </c>
      <c r="BC212" s="62" t="s">
        <v>456</v>
      </c>
      <c r="BD212" s="62" t="s">
        <v>456</v>
      </c>
      <c r="BE212" s="62" t="s">
        <v>456</v>
      </c>
      <c r="BF212" s="62" t="s">
        <v>456</v>
      </c>
      <c r="BG212" s="62" t="s">
        <v>456</v>
      </c>
      <c r="BH212" s="62" t="s">
        <v>456</v>
      </c>
      <c r="BI212" s="62" t="s">
        <v>456</v>
      </c>
      <c r="BJ212" s="62" t="s">
        <v>456</v>
      </c>
      <c r="BK212" s="62" t="s">
        <v>456</v>
      </c>
      <c r="BL212" s="62" t="s">
        <v>456</v>
      </c>
      <c r="BM212" s="62">
        <v>2890</v>
      </c>
      <c r="BN212" s="62">
        <v>5618</v>
      </c>
      <c r="BO212" s="62">
        <v>0</v>
      </c>
      <c r="BP212" s="62">
        <v>0</v>
      </c>
      <c r="BQ212" s="62">
        <v>0</v>
      </c>
      <c r="BR212" s="62">
        <v>0</v>
      </c>
      <c r="BS212" s="62">
        <v>0</v>
      </c>
      <c r="BT212" s="62">
        <v>0</v>
      </c>
      <c r="BU212" s="62">
        <v>0</v>
      </c>
      <c r="BV212" s="62">
        <v>0</v>
      </c>
      <c r="BW212" s="62">
        <v>0</v>
      </c>
      <c r="BX212" s="62">
        <v>0</v>
      </c>
      <c r="BY212" s="62" t="s">
        <v>490</v>
      </c>
      <c r="BZ212" s="62" t="s">
        <v>456</v>
      </c>
      <c r="CA212" s="62" t="s">
        <v>456</v>
      </c>
      <c r="CB212" s="64"/>
      <c r="CC212" s="62">
        <v>1</v>
      </c>
      <c r="CD212" s="62">
        <v>1</v>
      </c>
      <c r="CE212" s="62">
        <v>0</v>
      </c>
      <c r="CF212" s="62"/>
      <c r="CG212" s="62" t="s">
        <v>473</v>
      </c>
    </row>
    <row r="213" s="56" customFormat="1" spans="1:85">
      <c r="A213" s="62" t="s">
        <v>43</v>
      </c>
      <c r="B213" s="62" t="s">
        <v>818</v>
      </c>
      <c r="C213" s="62">
        <v>12800</v>
      </c>
      <c r="D213" s="62"/>
      <c r="E213" s="62" t="s">
        <v>826</v>
      </c>
      <c r="F213" s="62" t="b">
        <f>IF(COUNTIF(按提示输入属性!D15,E213)&gt;0,TRUE,FALSE)</f>
        <v>0</v>
      </c>
      <c r="G213" s="62"/>
      <c r="H213" s="62"/>
      <c r="I213" s="62"/>
      <c r="J213" s="62"/>
      <c r="K213" s="62">
        <v>0</v>
      </c>
      <c r="L213" s="62">
        <f>INT(K213*F342)</f>
        <v>0</v>
      </c>
      <c r="M213" s="62">
        <v>1941</v>
      </c>
      <c r="N213" s="62">
        <f>INT(M213*F344)</f>
        <v>1987</v>
      </c>
      <c r="O213" s="62">
        <v>2367</v>
      </c>
      <c r="P213" s="62">
        <f>INT(O213*F344)</f>
        <v>2424</v>
      </c>
      <c r="Q213" s="62">
        <v>1246</v>
      </c>
      <c r="R213" s="62">
        <f>INT(Q213*F344)</f>
        <v>1276</v>
      </c>
      <c r="S213" s="62">
        <v>0</v>
      </c>
      <c r="T213" s="62">
        <f>INT(S213*F344)</f>
        <v>0</v>
      </c>
      <c r="U213" s="62">
        <v>0</v>
      </c>
      <c r="V213" s="62">
        <f>INT(U213*F344)</f>
        <v>0</v>
      </c>
      <c r="W213" s="62">
        <v>1370</v>
      </c>
      <c r="X213" s="62">
        <f>INT(W213*F344)</f>
        <v>1403</v>
      </c>
      <c r="Y213" s="62">
        <v>0</v>
      </c>
      <c r="Z213" s="62">
        <v>0</v>
      </c>
      <c r="AA213" s="62">
        <v>0</v>
      </c>
      <c r="AB213" s="62">
        <v>0</v>
      </c>
      <c r="AC213" s="62">
        <v>0</v>
      </c>
      <c r="AD213" s="62">
        <v>0</v>
      </c>
      <c r="AE213" s="62">
        <v>0</v>
      </c>
      <c r="AF213" s="62">
        <v>1</v>
      </c>
      <c r="AG213" s="62">
        <v>0</v>
      </c>
      <c r="AH213" s="62">
        <v>0</v>
      </c>
      <c r="AI213" s="62">
        <v>0</v>
      </c>
      <c r="AJ213" s="62"/>
      <c r="AK213" s="62"/>
      <c r="AL213" s="62"/>
      <c r="AM213" s="62"/>
      <c r="AN213" s="62"/>
      <c r="AO213" s="62"/>
      <c r="AP213" s="62" t="s">
        <v>747</v>
      </c>
      <c r="AQ213" s="62">
        <v>3</v>
      </c>
      <c r="AR213" s="62" t="s">
        <v>473</v>
      </c>
      <c r="AS213" s="62">
        <v>1</v>
      </c>
      <c r="AT213" s="62" t="s">
        <v>450</v>
      </c>
      <c r="AU213" s="62" t="s">
        <v>450</v>
      </c>
      <c r="AV213" s="62" t="s">
        <v>450</v>
      </c>
      <c r="AW213" s="62">
        <v>0</v>
      </c>
      <c r="AX213" s="62">
        <v>0</v>
      </c>
      <c r="AY213" s="62">
        <v>0</v>
      </c>
      <c r="AZ213" s="62">
        <v>0</v>
      </c>
      <c r="BA213" s="62" t="s">
        <v>453</v>
      </c>
      <c r="BB213" s="62" t="s">
        <v>455</v>
      </c>
      <c r="BC213" s="62" t="s">
        <v>454</v>
      </c>
      <c r="BD213" s="62" t="s">
        <v>456</v>
      </c>
      <c r="BE213" s="62" t="s">
        <v>456</v>
      </c>
      <c r="BF213" s="62" t="s">
        <v>456</v>
      </c>
      <c r="BG213" s="62" t="s">
        <v>456</v>
      </c>
      <c r="BH213" s="62" t="s">
        <v>456</v>
      </c>
      <c r="BI213" s="62" t="s">
        <v>456</v>
      </c>
      <c r="BJ213" s="62" t="s">
        <v>456</v>
      </c>
      <c r="BK213" s="62" t="s">
        <v>456</v>
      </c>
      <c r="BL213" s="62" t="s">
        <v>456</v>
      </c>
      <c r="BM213" s="62">
        <v>2465</v>
      </c>
      <c r="BN213" s="62">
        <v>3165</v>
      </c>
      <c r="BO213" s="62">
        <v>3323</v>
      </c>
      <c r="BP213" s="62">
        <v>0</v>
      </c>
      <c r="BQ213" s="62">
        <v>0</v>
      </c>
      <c r="BR213" s="62">
        <v>0</v>
      </c>
      <c r="BS213" s="62">
        <v>0</v>
      </c>
      <c r="BT213" s="62">
        <v>0</v>
      </c>
      <c r="BU213" s="62">
        <v>0</v>
      </c>
      <c r="BV213" s="62">
        <v>0</v>
      </c>
      <c r="BW213" s="62">
        <v>0</v>
      </c>
      <c r="BX213" s="62">
        <v>0</v>
      </c>
      <c r="BY213" s="62" t="s">
        <v>487</v>
      </c>
      <c r="BZ213" s="62" t="s">
        <v>456</v>
      </c>
      <c r="CA213" s="62" t="s">
        <v>456</v>
      </c>
      <c r="CB213" s="64"/>
      <c r="CC213" s="62">
        <v>1</v>
      </c>
      <c r="CD213" s="62">
        <v>1</v>
      </c>
      <c r="CE213" s="62">
        <v>0</v>
      </c>
      <c r="CF213" s="62"/>
      <c r="CG213" s="62" t="s">
        <v>473</v>
      </c>
    </row>
    <row r="214" ht="13.5" spans="1:85">
      <c r="A214" s="61" t="s">
        <v>43</v>
      </c>
      <c r="B214" s="61" t="s">
        <v>827</v>
      </c>
      <c r="C214" s="61">
        <v>12600</v>
      </c>
      <c r="D214" s="61"/>
      <c r="E214" s="61" t="s">
        <v>828</v>
      </c>
      <c r="F214" s="61" t="b">
        <f>IF(COUNTIF(按提示输入属性!D15,E214)&gt;0,TRUE,FALSE)</f>
        <v>0</v>
      </c>
      <c r="G214" s="61"/>
      <c r="H214" s="61"/>
      <c r="I214" s="61"/>
      <c r="J214" s="61"/>
      <c r="K214" s="61">
        <v>440</v>
      </c>
      <c r="L214" s="61">
        <f>INT(K214*F342)</f>
        <v>473</v>
      </c>
      <c r="M214" s="61">
        <v>856</v>
      </c>
      <c r="N214" s="61">
        <f>INT(M214*F342)</f>
        <v>920</v>
      </c>
      <c r="O214" s="61">
        <v>2207</v>
      </c>
      <c r="P214" s="61">
        <f>INT(O214*F342)</f>
        <v>2373</v>
      </c>
      <c r="Q214" s="61">
        <v>0</v>
      </c>
      <c r="R214" s="61">
        <f>INT(Q214*F342)</f>
        <v>0</v>
      </c>
      <c r="S214" s="61">
        <v>0</v>
      </c>
      <c r="T214" s="61">
        <f>INT(S214*F342)</f>
        <v>0</v>
      </c>
      <c r="U214" s="61">
        <v>0</v>
      </c>
      <c r="V214" s="61">
        <f>INT(U214*F342)</f>
        <v>0</v>
      </c>
      <c r="W214" s="61">
        <v>1962</v>
      </c>
      <c r="X214" s="61">
        <f>INT(W214*F342)</f>
        <v>2109</v>
      </c>
      <c r="Y214" s="61">
        <v>0</v>
      </c>
      <c r="Z214" s="61">
        <v>0</v>
      </c>
      <c r="AA214" s="61">
        <v>0</v>
      </c>
      <c r="AB214" s="61">
        <v>0</v>
      </c>
      <c r="AC214" s="61">
        <v>0</v>
      </c>
      <c r="AD214" s="61">
        <v>0</v>
      </c>
      <c r="AE214" s="61">
        <v>0</v>
      </c>
      <c r="AF214" s="61">
        <v>0</v>
      </c>
      <c r="AG214" s="61">
        <v>0</v>
      </c>
      <c r="AH214" s="61">
        <v>1</v>
      </c>
      <c r="AI214" s="61">
        <v>0</v>
      </c>
      <c r="AJ214" s="61"/>
      <c r="AK214" s="61"/>
      <c r="AL214" s="61"/>
      <c r="AM214" s="61"/>
      <c r="AN214" s="61"/>
      <c r="AO214" s="61"/>
      <c r="AP214" s="61" t="s">
        <v>460</v>
      </c>
      <c r="AQ214" s="61">
        <v>6</v>
      </c>
      <c r="AR214" s="61" t="s">
        <v>458</v>
      </c>
      <c r="AS214" s="61">
        <v>1</v>
      </c>
      <c r="AT214" s="61" t="s">
        <v>450</v>
      </c>
      <c r="AU214" s="61" t="s">
        <v>450</v>
      </c>
      <c r="AV214" s="61" t="s">
        <v>450</v>
      </c>
      <c r="AW214" s="61">
        <v>2269</v>
      </c>
      <c r="AX214" s="61">
        <v>0</v>
      </c>
      <c r="AY214" s="61">
        <v>0</v>
      </c>
      <c r="AZ214" s="61">
        <v>0</v>
      </c>
      <c r="BA214" s="61" t="s">
        <v>453</v>
      </c>
      <c r="BB214" s="61" t="s">
        <v>455</v>
      </c>
      <c r="BC214" s="61" t="s">
        <v>454</v>
      </c>
      <c r="BD214" s="61" t="s">
        <v>487</v>
      </c>
      <c r="BE214" s="61" t="s">
        <v>456</v>
      </c>
      <c r="BF214" s="61" t="s">
        <v>456</v>
      </c>
      <c r="BG214" s="61" t="s">
        <v>456</v>
      </c>
      <c r="BH214" s="61" t="s">
        <v>456</v>
      </c>
      <c r="BI214" s="61" t="s">
        <v>456</v>
      </c>
      <c r="BJ214" s="61" t="s">
        <v>456</v>
      </c>
      <c r="BK214" s="61" t="s">
        <v>456</v>
      </c>
      <c r="BL214" s="61" t="s">
        <v>456</v>
      </c>
      <c r="BM214" s="61">
        <v>2720</v>
      </c>
      <c r="BN214" s="61">
        <v>1899</v>
      </c>
      <c r="BO214" s="61">
        <v>2057</v>
      </c>
      <c r="BP214" s="61">
        <v>2057</v>
      </c>
      <c r="BQ214" s="61">
        <v>0</v>
      </c>
      <c r="BR214" s="61">
        <v>0</v>
      </c>
      <c r="BS214" s="61">
        <v>0</v>
      </c>
      <c r="BT214" s="61">
        <v>0</v>
      </c>
      <c r="BU214" s="61">
        <v>0</v>
      </c>
      <c r="BV214" s="61">
        <v>0</v>
      </c>
      <c r="BW214" s="61">
        <v>0</v>
      </c>
      <c r="BX214" s="61">
        <v>0</v>
      </c>
      <c r="BY214" s="61" t="s">
        <v>490</v>
      </c>
      <c r="BZ214" s="61" t="s">
        <v>456</v>
      </c>
      <c r="CA214" s="61" t="s">
        <v>456</v>
      </c>
      <c r="CB214" s="66"/>
      <c r="CC214" s="61">
        <v>1</v>
      </c>
      <c r="CD214" s="61">
        <v>1</v>
      </c>
      <c r="CE214" s="61">
        <v>0</v>
      </c>
      <c r="CF214" s="61"/>
      <c r="CG214" s="61" t="s">
        <v>473</v>
      </c>
    </row>
    <row r="215" ht="13.5" spans="1:85">
      <c r="A215" s="61" t="s">
        <v>43</v>
      </c>
      <c r="B215" s="61" t="s">
        <v>829</v>
      </c>
      <c r="C215" s="61">
        <v>12450</v>
      </c>
      <c r="D215" s="61"/>
      <c r="E215" s="61" t="s">
        <v>830</v>
      </c>
      <c r="F215" s="61" t="b">
        <f>IF(COUNTIF(按提示输入属性!D15,E215)&gt;0,TRUE,FALSE)</f>
        <v>0</v>
      </c>
      <c r="G215" s="61"/>
      <c r="H215" s="61"/>
      <c r="I215" s="61"/>
      <c r="J215" s="61"/>
      <c r="K215" s="61">
        <v>435</v>
      </c>
      <c r="L215" s="61">
        <f>INT(K215*F342)</f>
        <v>467</v>
      </c>
      <c r="M215" s="61">
        <v>846</v>
      </c>
      <c r="N215" s="61">
        <f>INT(M215*F342)</f>
        <v>909</v>
      </c>
      <c r="O215" s="61">
        <v>0</v>
      </c>
      <c r="P215" s="61">
        <f>INT(O215*F342)</f>
        <v>0</v>
      </c>
      <c r="Q215" s="61">
        <v>0</v>
      </c>
      <c r="R215" s="61">
        <f>INT(Q215*F342)</f>
        <v>0</v>
      </c>
      <c r="S215" s="61">
        <v>2181</v>
      </c>
      <c r="T215" s="61">
        <f>INT(S215*F342)</f>
        <v>2345</v>
      </c>
      <c r="U215" s="61">
        <v>1939</v>
      </c>
      <c r="V215" s="61">
        <f>INT(U215*F342)</f>
        <v>2084</v>
      </c>
      <c r="W215" s="61">
        <v>0</v>
      </c>
      <c r="X215" s="61">
        <f>INT(W215*F342)</f>
        <v>0</v>
      </c>
      <c r="Y215" s="61">
        <v>0</v>
      </c>
      <c r="Z215" s="61">
        <v>0</v>
      </c>
      <c r="AA215" s="61">
        <v>0</v>
      </c>
      <c r="AB215" s="61">
        <v>1</v>
      </c>
      <c r="AC215" s="61">
        <v>0</v>
      </c>
      <c r="AD215" s="61">
        <v>0</v>
      </c>
      <c r="AE215" s="61">
        <v>0</v>
      </c>
      <c r="AF215" s="61">
        <v>0</v>
      </c>
      <c r="AG215" s="61">
        <v>0</v>
      </c>
      <c r="AH215" s="61">
        <v>0</v>
      </c>
      <c r="AI215" s="61">
        <v>0</v>
      </c>
      <c r="AJ215" s="61"/>
      <c r="AK215" s="61"/>
      <c r="AL215" s="61"/>
      <c r="AM215" s="61"/>
      <c r="AN215" s="61"/>
      <c r="AO215" s="61"/>
      <c r="AP215" s="61" t="s">
        <v>465</v>
      </c>
      <c r="AQ215" s="61">
        <v>6</v>
      </c>
      <c r="AR215" s="61" t="s">
        <v>449</v>
      </c>
      <c r="AS215" s="61">
        <v>1</v>
      </c>
      <c r="AT215" s="61" t="s">
        <v>450</v>
      </c>
      <c r="AU215" s="61" t="s">
        <v>450</v>
      </c>
      <c r="AV215" s="61" t="s">
        <v>450</v>
      </c>
      <c r="AW215" s="61">
        <v>2242</v>
      </c>
      <c r="AX215" s="61">
        <v>0</v>
      </c>
      <c r="AY215" s="61">
        <v>0</v>
      </c>
      <c r="AZ215" s="61">
        <v>0</v>
      </c>
      <c r="BA215" s="61" t="s">
        <v>453</v>
      </c>
      <c r="BB215" s="61" t="s">
        <v>454</v>
      </c>
      <c r="BC215" s="61" t="s">
        <v>456</v>
      </c>
      <c r="BD215" s="61" t="s">
        <v>456</v>
      </c>
      <c r="BE215" s="61" t="s">
        <v>456</v>
      </c>
      <c r="BF215" s="61" t="s">
        <v>456</v>
      </c>
      <c r="BG215" s="61" t="s">
        <v>456</v>
      </c>
      <c r="BH215" s="61" t="s">
        <v>456</v>
      </c>
      <c r="BI215" s="61" t="s">
        <v>456</v>
      </c>
      <c r="BJ215" s="61" t="s">
        <v>456</v>
      </c>
      <c r="BK215" s="61" t="s">
        <v>456</v>
      </c>
      <c r="BL215" s="61" t="s">
        <v>456</v>
      </c>
      <c r="BM215" s="61">
        <v>2730</v>
      </c>
      <c r="BN215" s="61">
        <v>5307</v>
      </c>
      <c r="BO215" s="61">
        <v>0</v>
      </c>
      <c r="BP215" s="61">
        <v>0</v>
      </c>
      <c r="BQ215" s="61">
        <v>0</v>
      </c>
      <c r="BR215" s="61">
        <v>0</v>
      </c>
      <c r="BS215" s="61">
        <v>0</v>
      </c>
      <c r="BT215" s="61">
        <v>0</v>
      </c>
      <c r="BU215" s="61">
        <v>0</v>
      </c>
      <c r="BV215" s="61">
        <v>0</v>
      </c>
      <c r="BW215" s="61">
        <v>0</v>
      </c>
      <c r="BX215" s="61">
        <v>0</v>
      </c>
      <c r="BY215" s="61" t="s">
        <v>455</v>
      </c>
      <c r="BZ215" s="61" t="s">
        <v>456</v>
      </c>
      <c r="CA215" s="61" t="s">
        <v>456</v>
      </c>
      <c r="CB215" s="66"/>
      <c r="CC215" s="61">
        <v>1</v>
      </c>
      <c r="CD215" s="61">
        <v>1</v>
      </c>
      <c r="CE215" s="61">
        <v>0</v>
      </c>
      <c r="CF215" s="61"/>
      <c r="CG215" s="61" t="s">
        <v>473</v>
      </c>
    </row>
    <row r="216" ht="13.5" spans="1:85">
      <c r="A216" s="61" t="s">
        <v>43</v>
      </c>
      <c r="B216" s="61" t="s">
        <v>831</v>
      </c>
      <c r="C216" s="61">
        <v>12450</v>
      </c>
      <c r="D216" s="61"/>
      <c r="E216" s="61" t="s">
        <v>832</v>
      </c>
      <c r="F216" s="61" t="b">
        <f>IF(COUNTIF(按提示输入属性!D15,E216)&gt;0,TRUE,FALSE)</f>
        <v>0</v>
      </c>
      <c r="G216" s="61"/>
      <c r="H216" s="61"/>
      <c r="I216" s="61"/>
      <c r="J216" s="61"/>
      <c r="K216" s="61">
        <v>435</v>
      </c>
      <c r="L216" s="61">
        <f>INT(K216*F342)</f>
        <v>467</v>
      </c>
      <c r="M216" s="61">
        <v>846</v>
      </c>
      <c r="N216" s="61">
        <f>INT(M216*F342)</f>
        <v>909</v>
      </c>
      <c r="O216" s="61">
        <v>2181</v>
      </c>
      <c r="P216" s="61">
        <f>INT(O216*F342)</f>
        <v>2345</v>
      </c>
      <c r="Q216" s="61">
        <v>0</v>
      </c>
      <c r="R216" s="61">
        <f>INT(Q216*F342)</f>
        <v>0</v>
      </c>
      <c r="S216" s="61">
        <v>0</v>
      </c>
      <c r="T216" s="61">
        <f>INT(S216*F342)</f>
        <v>0</v>
      </c>
      <c r="U216" s="61">
        <v>1939</v>
      </c>
      <c r="V216" s="61">
        <f>INT(U216*F342)</f>
        <v>2084</v>
      </c>
      <c r="W216" s="61">
        <v>0</v>
      </c>
      <c r="X216" s="61">
        <f>INT(W216*F342)</f>
        <v>0</v>
      </c>
      <c r="Y216" s="61">
        <v>0</v>
      </c>
      <c r="Z216" s="61">
        <v>0</v>
      </c>
      <c r="AA216" s="61">
        <v>0</v>
      </c>
      <c r="AB216" s="61">
        <v>1</v>
      </c>
      <c r="AC216" s="61">
        <v>0</v>
      </c>
      <c r="AD216" s="61">
        <v>0</v>
      </c>
      <c r="AE216" s="61">
        <v>0</v>
      </c>
      <c r="AF216" s="61">
        <v>0</v>
      </c>
      <c r="AG216" s="61">
        <v>0</v>
      </c>
      <c r="AH216" s="61">
        <v>0</v>
      </c>
      <c r="AI216" s="61">
        <v>0</v>
      </c>
      <c r="AJ216" s="61"/>
      <c r="AK216" s="61"/>
      <c r="AL216" s="61"/>
      <c r="AM216" s="61"/>
      <c r="AN216" s="61"/>
      <c r="AO216" s="61"/>
      <c r="AP216" s="61" t="s">
        <v>468</v>
      </c>
      <c r="AQ216" s="61">
        <v>6</v>
      </c>
      <c r="AR216" s="61" t="s">
        <v>449</v>
      </c>
      <c r="AS216" s="61">
        <v>1</v>
      </c>
      <c r="AT216" s="61" t="s">
        <v>450</v>
      </c>
      <c r="AU216" s="61" t="s">
        <v>450</v>
      </c>
      <c r="AV216" s="61" t="s">
        <v>450</v>
      </c>
      <c r="AW216" s="61">
        <v>2242</v>
      </c>
      <c r="AX216" s="61">
        <v>0</v>
      </c>
      <c r="AY216" s="61">
        <v>0</v>
      </c>
      <c r="AZ216" s="61">
        <v>0</v>
      </c>
      <c r="BA216" s="61" t="s">
        <v>453</v>
      </c>
      <c r="BB216" s="61" t="s">
        <v>487</v>
      </c>
      <c r="BC216" s="61" t="s">
        <v>490</v>
      </c>
      <c r="BD216" s="61" t="s">
        <v>456</v>
      </c>
      <c r="BE216" s="61" t="s">
        <v>456</v>
      </c>
      <c r="BF216" s="61" t="s">
        <v>456</v>
      </c>
      <c r="BG216" s="61" t="s">
        <v>456</v>
      </c>
      <c r="BH216" s="61" t="s">
        <v>456</v>
      </c>
      <c r="BI216" s="61" t="s">
        <v>456</v>
      </c>
      <c r="BJ216" s="61" t="s">
        <v>456</v>
      </c>
      <c r="BK216" s="61" t="s">
        <v>456</v>
      </c>
      <c r="BL216" s="61" t="s">
        <v>456</v>
      </c>
      <c r="BM216" s="61">
        <v>2329</v>
      </c>
      <c r="BN216" s="61">
        <v>3737</v>
      </c>
      <c r="BO216" s="61">
        <v>2242</v>
      </c>
      <c r="BP216" s="61">
        <v>0</v>
      </c>
      <c r="BQ216" s="61">
        <v>0</v>
      </c>
      <c r="BR216" s="61">
        <v>0</v>
      </c>
      <c r="BS216" s="61">
        <v>0</v>
      </c>
      <c r="BT216" s="61">
        <v>0</v>
      </c>
      <c r="BU216" s="61">
        <v>0</v>
      </c>
      <c r="BV216" s="61">
        <v>0</v>
      </c>
      <c r="BW216" s="61">
        <v>0</v>
      </c>
      <c r="BX216" s="61">
        <v>0</v>
      </c>
      <c r="BY216" s="61" t="s">
        <v>454</v>
      </c>
      <c r="BZ216" s="61" t="s">
        <v>456</v>
      </c>
      <c r="CA216" s="61" t="s">
        <v>456</v>
      </c>
      <c r="CB216" s="66"/>
      <c r="CC216" s="61">
        <v>1</v>
      </c>
      <c r="CD216" s="61">
        <v>1</v>
      </c>
      <c r="CE216" s="61">
        <v>0</v>
      </c>
      <c r="CF216" s="61"/>
      <c r="CG216" s="61" t="s">
        <v>473</v>
      </c>
    </row>
    <row r="217" s="55" customFormat="1" spans="1:85">
      <c r="A217" s="63" t="s">
        <v>43</v>
      </c>
      <c r="B217" s="63" t="s">
        <v>833</v>
      </c>
      <c r="C217" s="63">
        <v>12450</v>
      </c>
      <c r="D217" s="63"/>
      <c r="E217" s="63" t="s">
        <v>834</v>
      </c>
      <c r="F217" s="63" t="b">
        <f>IF(COUNTIF(按提示输入属性!D15,E217)&gt;0,TRUE,FALSE)</f>
        <v>0</v>
      </c>
      <c r="G217" s="63"/>
      <c r="H217" s="63"/>
      <c r="I217" s="63"/>
      <c r="J217" s="63"/>
      <c r="K217" s="63">
        <v>435</v>
      </c>
      <c r="L217" s="63">
        <f>INT(K217*F343)</f>
        <v>451</v>
      </c>
      <c r="M217" s="63">
        <v>846</v>
      </c>
      <c r="N217" s="63">
        <f>INT(M217*F343)</f>
        <v>878</v>
      </c>
      <c r="O217" s="63">
        <v>0</v>
      </c>
      <c r="P217" s="63">
        <f>INT(O217*F342)</f>
        <v>0</v>
      </c>
      <c r="Q217" s="63">
        <v>0</v>
      </c>
      <c r="R217" s="63">
        <f>INT(Q217*F342)</f>
        <v>0</v>
      </c>
      <c r="S217" s="63">
        <v>2181</v>
      </c>
      <c r="T217" s="63">
        <f>INT(S217*F343)</f>
        <v>2263</v>
      </c>
      <c r="U217" s="63">
        <v>0</v>
      </c>
      <c r="V217" s="63">
        <f>INT(U217*F342)</f>
        <v>0</v>
      </c>
      <c r="W217" s="63">
        <v>1939</v>
      </c>
      <c r="X217" s="63">
        <f>INT(W217*F343)</f>
        <v>2012</v>
      </c>
      <c r="Y217" s="63">
        <v>0</v>
      </c>
      <c r="Z217" s="63">
        <v>0</v>
      </c>
      <c r="AA217" s="63">
        <v>0</v>
      </c>
      <c r="AB217" s="63">
        <v>0</v>
      </c>
      <c r="AC217" s="63">
        <v>0</v>
      </c>
      <c r="AD217" s="63">
        <v>0</v>
      </c>
      <c r="AE217" s="63">
        <v>0</v>
      </c>
      <c r="AF217" s="63">
        <v>1</v>
      </c>
      <c r="AG217" s="63">
        <v>0</v>
      </c>
      <c r="AH217" s="63">
        <v>0</v>
      </c>
      <c r="AI217" s="63">
        <v>0</v>
      </c>
      <c r="AJ217" s="63"/>
      <c r="AK217" s="63"/>
      <c r="AL217" s="63"/>
      <c r="AM217" s="63"/>
      <c r="AN217" s="63"/>
      <c r="AO217" s="63">
        <v>1</v>
      </c>
      <c r="AP217" s="63" t="s">
        <v>817</v>
      </c>
      <c r="AQ217" s="63">
        <v>4</v>
      </c>
      <c r="AR217" s="63" t="s">
        <v>449</v>
      </c>
      <c r="AS217" s="63">
        <v>1</v>
      </c>
      <c r="AT217" s="63" t="s">
        <v>450</v>
      </c>
      <c r="AU217" s="63" t="s">
        <v>450</v>
      </c>
      <c r="AV217" s="63" t="s">
        <v>450</v>
      </c>
      <c r="AW217" s="63">
        <v>2242</v>
      </c>
      <c r="AX217" s="63">
        <v>0</v>
      </c>
      <c r="AY217" s="63">
        <v>0</v>
      </c>
      <c r="AZ217" s="63">
        <v>0</v>
      </c>
      <c r="BA217" s="63" t="s">
        <v>453</v>
      </c>
      <c r="BB217" s="63" t="s">
        <v>455</v>
      </c>
      <c r="BC217" s="63" t="s">
        <v>487</v>
      </c>
      <c r="BD217" s="63" t="s">
        <v>490</v>
      </c>
      <c r="BE217" s="63" t="s">
        <v>456</v>
      </c>
      <c r="BF217" s="63" t="s">
        <v>456</v>
      </c>
      <c r="BG217" s="63" t="s">
        <v>456</v>
      </c>
      <c r="BH217" s="63" t="s">
        <v>456</v>
      </c>
      <c r="BI217" s="63" t="s">
        <v>456</v>
      </c>
      <c r="BJ217" s="63" t="s">
        <v>456</v>
      </c>
      <c r="BK217" s="63" t="s">
        <v>456</v>
      </c>
      <c r="BL217" s="63" t="s">
        <v>456</v>
      </c>
      <c r="BM217" s="63">
        <v>2329</v>
      </c>
      <c r="BN217" s="63">
        <v>1644</v>
      </c>
      <c r="BO217" s="63">
        <v>2840</v>
      </c>
      <c r="BP217" s="63">
        <v>1495</v>
      </c>
      <c r="BQ217" s="63">
        <v>0</v>
      </c>
      <c r="BR217" s="63">
        <v>0</v>
      </c>
      <c r="BS217" s="63">
        <v>0</v>
      </c>
      <c r="BT217" s="63">
        <v>0</v>
      </c>
      <c r="BU217" s="63">
        <v>0</v>
      </c>
      <c r="BV217" s="63">
        <v>0</v>
      </c>
      <c r="BW217" s="63">
        <v>0</v>
      </c>
      <c r="BX217" s="63">
        <v>0</v>
      </c>
      <c r="BY217" s="63" t="s">
        <v>454</v>
      </c>
      <c r="BZ217" s="63" t="s">
        <v>456</v>
      </c>
      <c r="CA217" s="63" t="s">
        <v>456</v>
      </c>
      <c r="CB217" s="65"/>
      <c r="CC217" s="63">
        <v>1</v>
      </c>
      <c r="CD217" s="63">
        <v>1</v>
      </c>
      <c r="CE217" s="63">
        <v>0</v>
      </c>
      <c r="CF217" s="63"/>
      <c r="CG217" s="63" t="s">
        <v>473</v>
      </c>
    </row>
    <row r="218" ht="13.5" spans="1:85">
      <c r="A218" s="61" t="s">
        <v>43</v>
      </c>
      <c r="B218" s="61" t="s">
        <v>835</v>
      </c>
      <c r="C218" s="61">
        <v>12450</v>
      </c>
      <c r="D218" s="61"/>
      <c r="E218" s="61" t="s">
        <v>836</v>
      </c>
      <c r="F218" s="61" t="b">
        <f>IF(COUNTIF(按提示输入属性!D15,E218)&gt;0,TRUE,FALSE)</f>
        <v>0</v>
      </c>
      <c r="G218" s="61"/>
      <c r="H218" s="61"/>
      <c r="I218" s="61"/>
      <c r="J218" s="61"/>
      <c r="K218" s="61">
        <v>435</v>
      </c>
      <c r="L218" s="61">
        <f>INT(K218*F342)</f>
        <v>467</v>
      </c>
      <c r="M218" s="61">
        <v>846</v>
      </c>
      <c r="N218" s="61">
        <f>INT(M218*F342)</f>
        <v>909</v>
      </c>
      <c r="O218" s="61">
        <v>2181</v>
      </c>
      <c r="P218" s="61">
        <f>INT(O218*F342)</f>
        <v>2345</v>
      </c>
      <c r="Q218" s="61">
        <v>0</v>
      </c>
      <c r="R218" s="61">
        <f>INT(Q218*F342)</f>
        <v>0</v>
      </c>
      <c r="S218" s="61">
        <v>0</v>
      </c>
      <c r="T218" s="61">
        <f>INT(S218*F342)</f>
        <v>0</v>
      </c>
      <c r="U218" s="61">
        <v>1939</v>
      </c>
      <c r="V218" s="61">
        <f>INT(U218*F342)</f>
        <v>2084</v>
      </c>
      <c r="W218" s="61">
        <v>0</v>
      </c>
      <c r="X218" s="61">
        <f>INT(W218*F342)</f>
        <v>0</v>
      </c>
      <c r="Y218" s="61">
        <v>0</v>
      </c>
      <c r="Z218" s="61">
        <v>0</v>
      </c>
      <c r="AA218" s="61">
        <v>0</v>
      </c>
      <c r="AB218" s="61">
        <v>1</v>
      </c>
      <c r="AC218" s="61">
        <v>0</v>
      </c>
      <c r="AD218" s="61">
        <v>0</v>
      </c>
      <c r="AE218" s="61">
        <v>0</v>
      </c>
      <c r="AF218" s="61">
        <v>0</v>
      </c>
      <c r="AG218" s="61">
        <v>0</v>
      </c>
      <c r="AH218" s="61">
        <v>0</v>
      </c>
      <c r="AI218" s="61">
        <v>0</v>
      </c>
      <c r="AJ218" s="61"/>
      <c r="AK218" s="61"/>
      <c r="AL218" s="61"/>
      <c r="AM218" s="61"/>
      <c r="AN218" s="61"/>
      <c r="AO218" s="61"/>
      <c r="AP218" s="61" t="s">
        <v>468</v>
      </c>
      <c r="AQ218" s="61">
        <v>6</v>
      </c>
      <c r="AR218" s="61" t="s">
        <v>469</v>
      </c>
      <c r="AS218" s="61">
        <v>1</v>
      </c>
      <c r="AT218" s="61" t="s">
        <v>450</v>
      </c>
      <c r="AU218" s="61" t="s">
        <v>450</v>
      </c>
      <c r="AV218" s="61" t="s">
        <v>450</v>
      </c>
      <c r="AW218" s="61">
        <v>2242</v>
      </c>
      <c r="AX218" s="61">
        <v>0</v>
      </c>
      <c r="AY218" s="61">
        <v>0</v>
      </c>
      <c r="AZ218" s="61">
        <v>0</v>
      </c>
      <c r="BA218" s="61" t="s">
        <v>451</v>
      </c>
      <c r="BB218" s="61" t="s">
        <v>452</v>
      </c>
      <c r="BC218" s="61" t="s">
        <v>656</v>
      </c>
      <c r="BD218" s="61" t="s">
        <v>657</v>
      </c>
      <c r="BE218" s="61" t="s">
        <v>455</v>
      </c>
      <c r="BF218" s="61" t="s">
        <v>456</v>
      </c>
      <c r="BG218" s="61" t="s">
        <v>456</v>
      </c>
      <c r="BH218" s="61" t="s">
        <v>456</v>
      </c>
      <c r="BI218" s="61" t="s">
        <v>456</v>
      </c>
      <c r="BJ218" s="61" t="s">
        <v>456</v>
      </c>
      <c r="BK218" s="61" t="s">
        <v>456</v>
      </c>
      <c r="BL218" s="61" t="s">
        <v>456</v>
      </c>
      <c r="BM218" s="61">
        <v>5445</v>
      </c>
      <c r="BN218" s="61">
        <v>1056</v>
      </c>
      <c r="BO218" s="61">
        <v>4906</v>
      </c>
      <c r="BP218" s="61">
        <v>5297</v>
      </c>
      <c r="BQ218" s="61">
        <v>5651</v>
      </c>
      <c r="BR218" s="61">
        <v>0</v>
      </c>
      <c r="BS218" s="61">
        <v>0</v>
      </c>
      <c r="BT218" s="61">
        <v>0</v>
      </c>
      <c r="BU218" s="61">
        <v>0</v>
      </c>
      <c r="BV218" s="61">
        <v>0</v>
      </c>
      <c r="BW218" s="61">
        <v>0</v>
      </c>
      <c r="BX218" s="61">
        <v>0</v>
      </c>
      <c r="BY218" s="61" t="s">
        <v>656</v>
      </c>
      <c r="BZ218" s="61" t="s">
        <v>452</v>
      </c>
      <c r="CA218" s="61" t="s">
        <v>663</v>
      </c>
      <c r="CB218" s="66"/>
      <c r="CC218" s="61">
        <v>3</v>
      </c>
      <c r="CD218" s="61">
        <v>2</v>
      </c>
      <c r="CE218" s="61">
        <v>1</v>
      </c>
      <c r="CF218" s="61"/>
      <c r="CG218" s="61" t="s">
        <v>503</v>
      </c>
    </row>
    <row r="219" ht="13.5" spans="1:85">
      <c r="A219" s="61" t="s">
        <v>43</v>
      </c>
      <c r="B219" s="61" t="s">
        <v>810</v>
      </c>
      <c r="C219" s="61">
        <v>12450</v>
      </c>
      <c r="D219" s="61"/>
      <c r="E219" s="61" t="s">
        <v>837</v>
      </c>
      <c r="F219" s="61" t="b">
        <f>IF(COUNTIF(按提示输入属性!D15,E219)&gt;0,TRUE,FALSE)</f>
        <v>0</v>
      </c>
      <c r="G219" s="61"/>
      <c r="H219" s="61"/>
      <c r="I219" s="61"/>
      <c r="J219" s="61"/>
      <c r="K219" s="61">
        <v>435</v>
      </c>
      <c r="L219" s="61">
        <f>INT(K219*F342)</f>
        <v>467</v>
      </c>
      <c r="M219" s="61">
        <v>846</v>
      </c>
      <c r="N219" s="61">
        <f>INT(M219*F342)</f>
        <v>909</v>
      </c>
      <c r="O219" s="61">
        <v>2181</v>
      </c>
      <c r="P219" s="61">
        <f>INT(O219*F342)</f>
        <v>2345</v>
      </c>
      <c r="Q219" s="61">
        <v>0</v>
      </c>
      <c r="R219" s="61">
        <f>INT(Q219*F342)</f>
        <v>0</v>
      </c>
      <c r="S219" s="61">
        <v>0</v>
      </c>
      <c r="T219" s="61">
        <f>INT(S219*F342)</f>
        <v>0</v>
      </c>
      <c r="U219" s="61">
        <v>0</v>
      </c>
      <c r="V219" s="61">
        <f>INT(U219*F342)</f>
        <v>0</v>
      </c>
      <c r="W219" s="61">
        <v>1939</v>
      </c>
      <c r="X219" s="61">
        <f>INT(W219*F342)</f>
        <v>2084</v>
      </c>
      <c r="Y219" s="61">
        <v>0</v>
      </c>
      <c r="Z219" s="61">
        <v>0</v>
      </c>
      <c r="AA219" s="61">
        <v>0</v>
      </c>
      <c r="AB219" s="61">
        <v>0</v>
      </c>
      <c r="AC219" s="61">
        <v>0</v>
      </c>
      <c r="AD219" s="61">
        <v>0</v>
      </c>
      <c r="AE219" s="61">
        <v>0</v>
      </c>
      <c r="AF219" s="61">
        <v>0</v>
      </c>
      <c r="AG219" s="61">
        <v>0</v>
      </c>
      <c r="AH219" s="61">
        <v>1</v>
      </c>
      <c r="AI219" s="61">
        <v>0</v>
      </c>
      <c r="AJ219" s="61"/>
      <c r="AK219" s="61"/>
      <c r="AL219" s="61"/>
      <c r="AM219" s="61"/>
      <c r="AN219" s="61"/>
      <c r="AO219" s="61"/>
      <c r="AP219" s="61" t="s">
        <v>460</v>
      </c>
      <c r="AQ219" s="61">
        <v>6</v>
      </c>
      <c r="AR219" s="61" t="s">
        <v>458</v>
      </c>
      <c r="AS219" s="61">
        <v>1</v>
      </c>
      <c r="AT219" s="61" t="s">
        <v>450</v>
      </c>
      <c r="AU219" s="61" t="s">
        <v>450</v>
      </c>
      <c r="AV219" s="61" t="s">
        <v>450</v>
      </c>
      <c r="AW219" s="61">
        <v>2242</v>
      </c>
      <c r="AX219" s="61">
        <v>0</v>
      </c>
      <c r="AY219" s="61">
        <v>0</v>
      </c>
      <c r="AZ219" s="61">
        <v>0</v>
      </c>
      <c r="BA219" s="61" t="s">
        <v>451</v>
      </c>
      <c r="BB219" s="61" t="s">
        <v>452</v>
      </c>
      <c r="BC219" s="61" t="s">
        <v>453</v>
      </c>
      <c r="BD219" s="61" t="s">
        <v>454</v>
      </c>
      <c r="BE219" s="61" t="s">
        <v>462</v>
      </c>
      <c r="BF219" s="61" t="s">
        <v>456</v>
      </c>
      <c r="BG219" s="61" t="s">
        <v>456</v>
      </c>
      <c r="BH219" s="61" t="s">
        <v>456</v>
      </c>
      <c r="BI219" s="61" t="s">
        <v>456</v>
      </c>
      <c r="BJ219" s="61" t="s">
        <v>456</v>
      </c>
      <c r="BK219" s="61" t="s">
        <v>456</v>
      </c>
      <c r="BL219" s="61" t="s">
        <v>456</v>
      </c>
      <c r="BM219" s="61">
        <v>2722</v>
      </c>
      <c r="BN219" s="61">
        <v>528</v>
      </c>
      <c r="BO219" s="61">
        <v>1028</v>
      </c>
      <c r="BP219" s="61">
        <v>2649</v>
      </c>
      <c r="BQ219" s="61">
        <v>2354</v>
      </c>
      <c r="BR219" s="61">
        <v>0</v>
      </c>
      <c r="BS219" s="61">
        <v>0</v>
      </c>
      <c r="BT219" s="61">
        <v>0</v>
      </c>
      <c r="BU219" s="61">
        <v>0</v>
      </c>
      <c r="BV219" s="61">
        <v>0</v>
      </c>
      <c r="BW219" s="61">
        <v>0</v>
      </c>
      <c r="BX219" s="61">
        <v>0</v>
      </c>
      <c r="BY219" s="61" t="s">
        <v>453</v>
      </c>
      <c r="BZ219" s="61" t="s">
        <v>456</v>
      </c>
      <c r="CA219" s="61" t="s">
        <v>456</v>
      </c>
      <c r="CB219" s="66"/>
      <c r="CC219" s="61">
        <v>1</v>
      </c>
      <c r="CD219" s="61">
        <v>1</v>
      </c>
      <c r="CE219" s="61">
        <v>0</v>
      </c>
      <c r="CF219" s="61"/>
      <c r="CG219" s="61" t="s">
        <v>458</v>
      </c>
    </row>
    <row r="220" ht="13.5" spans="1:85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>
        <f>INT(K220*F342)</f>
        <v>0</v>
      </c>
      <c r="M220" s="61"/>
      <c r="N220" s="61">
        <f>INT(M220*F342)</f>
        <v>0</v>
      </c>
      <c r="O220" s="61"/>
      <c r="P220" s="61">
        <f>INT(O220*F342)</f>
        <v>0</v>
      </c>
      <c r="Q220" s="61"/>
      <c r="R220" s="61">
        <f>INT(Q220*F342)</f>
        <v>0</v>
      </c>
      <c r="S220" s="61"/>
      <c r="T220" s="61">
        <f>INT(S220*F342)</f>
        <v>0</v>
      </c>
      <c r="U220" s="61"/>
      <c r="V220" s="61">
        <f>INT(U220*F342)</f>
        <v>0</v>
      </c>
      <c r="W220" s="61"/>
      <c r="X220" s="61">
        <f>INT(W220*F342)</f>
        <v>0</v>
      </c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6"/>
      <c r="CC220" s="61"/>
      <c r="CD220" s="61"/>
      <c r="CE220" s="61"/>
      <c r="CF220" s="61"/>
      <c r="CG220" s="61"/>
    </row>
    <row r="221" ht="13.5" spans="1:85">
      <c r="A221" s="61" t="s">
        <v>838</v>
      </c>
      <c r="B221" s="61" t="s">
        <v>839</v>
      </c>
      <c r="C221" s="61">
        <v>14150</v>
      </c>
      <c r="D221" s="61"/>
      <c r="E221" s="61" t="s">
        <v>840</v>
      </c>
      <c r="F221" s="61" t="b">
        <f>IF(COUNTIF(按提示输入属性!D19,E221)&gt;0,TRUE,FALSE)</f>
        <v>0</v>
      </c>
      <c r="G221" s="61"/>
      <c r="H221" s="61"/>
      <c r="I221" s="61"/>
      <c r="J221" s="61"/>
      <c r="K221" s="61">
        <v>1186</v>
      </c>
      <c r="L221" s="61">
        <f>INT(K221*F342)</f>
        <v>1275</v>
      </c>
      <c r="M221" s="61">
        <v>5510</v>
      </c>
      <c r="N221" s="61">
        <f>INT(M221*F342)</f>
        <v>5924</v>
      </c>
      <c r="O221" s="61">
        <v>5949</v>
      </c>
      <c r="P221" s="61">
        <f>INT(O221*F342)</f>
        <v>6396</v>
      </c>
      <c r="Q221" s="61">
        <v>0</v>
      </c>
      <c r="R221" s="61">
        <f>INT(Q221*F342)</f>
        <v>0</v>
      </c>
      <c r="S221" s="61">
        <v>0</v>
      </c>
      <c r="T221" s="61">
        <f>INT(S221*F342)</f>
        <v>0</v>
      </c>
      <c r="U221" s="61">
        <v>6346</v>
      </c>
      <c r="V221" s="61">
        <f>INT(U221*F342)</f>
        <v>6823</v>
      </c>
      <c r="W221" s="61">
        <v>0</v>
      </c>
      <c r="X221" s="61">
        <f>INT(W221*F342)</f>
        <v>0</v>
      </c>
      <c r="Y221" s="61">
        <v>0</v>
      </c>
      <c r="Z221" s="61">
        <v>1426</v>
      </c>
      <c r="AA221" s="61">
        <v>2377</v>
      </c>
      <c r="AB221" s="61">
        <v>1</v>
      </c>
      <c r="AC221" s="61">
        <v>1</v>
      </c>
      <c r="AD221" s="61">
        <v>0</v>
      </c>
      <c r="AE221" s="61">
        <v>0</v>
      </c>
      <c r="AF221" s="61">
        <v>1</v>
      </c>
      <c r="AG221" s="61">
        <v>0</v>
      </c>
      <c r="AH221" s="61">
        <v>0</v>
      </c>
      <c r="AI221" s="61">
        <v>0</v>
      </c>
      <c r="AJ221" s="61"/>
      <c r="AK221" s="61"/>
      <c r="AL221" s="61"/>
      <c r="AM221" s="61"/>
      <c r="AN221" s="61"/>
      <c r="AO221" s="61"/>
      <c r="AP221" s="61" t="s">
        <v>468</v>
      </c>
      <c r="AQ221" s="61">
        <v>6</v>
      </c>
      <c r="AR221" s="61" t="s">
        <v>503</v>
      </c>
      <c r="AS221" s="61">
        <v>1</v>
      </c>
      <c r="AT221" s="61" t="s">
        <v>450</v>
      </c>
      <c r="AU221" s="61" t="s">
        <v>450</v>
      </c>
      <c r="AV221" s="61" t="s">
        <v>450</v>
      </c>
      <c r="AW221" s="61">
        <v>6114</v>
      </c>
      <c r="AX221" s="61">
        <v>0</v>
      </c>
      <c r="AY221" s="61">
        <v>0</v>
      </c>
      <c r="AZ221" s="61">
        <v>0</v>
      </c>
      <c r="BA221" s="61" t="s">
        <v>451</v>
      </c>
      <c r="BB221" s="61" t="s">
        <v>452</v>
      </c>
      <c r="BC221" s="61" t="s">
        <v>656</v>
      </c>
      <c r="BD221" s="61" t="s">
        <v>663</v>
      </c>
      <c r="BE221" s="61" t="s">
        <v>462</v>
      </c>
      <c r="BF221" s="61" t="s">
        <v>821</v>
      </c>
      <c r="BG221" s="61" t="s">
        <v>456</v>
      </c>
      <c r="BH221" s="61" t="s">
        <v>456</v>
      </c>
      <c r="BI221" s="61" t="s">
        <v>456</v>
      </c>
      <c r="BJ221" s="61" t="s">
        <v>456</v>
      </c>
      <c r="BK221" s="61" t="s">
        <v>456</v>
      </c>
      <c r="BL221" s="61" t="s">
        <v>456</v>
      </c>
      <c r="BM221" s="61">
        <v>5380</v>
      </c>
      <c r="BN221" s="61">
        <v>1043</v>
      </c>
      <c r="BO221" s="61">
        <v>4848</v>
      </c>
      <c r="BP221" s="61">
        <v>5234</v>
      </c>
      <c r="BQ221" s="61">
        <v>5583</v>
      </c>
      <c r="BR221" s="61">
        <v>2497</v>
      </c>
      <c r="BS221" s="61">
        <v>0</v>
      </c>
      <c r="BT221" s="61">
        <v>0</v>
      </c>
      <c r="BU221" s="61">
        <v>0</v>
      </c>
      <c r="BV221" s="61">
        <v>0</v>
      </c>
      <c r="BW221" s="61">
        <v>0</v>
      </c>
      <c r="BX221" s="61">
        <v>0</v>
      </c>
      <c r="BY221" s="61" t="s">
        <v>656</v>
      </c>
      <c r="BZ221" s="61" t="s">
        <v>452</v>
      </c>
      <c r="CA221" s="61" t="s">
        <v>663</v>
      </c>
      <c r="CB221" s="66"/>
      <c r="CC221" s="61">
        <v>3</v>
      </c>
      <c r="CD221" s="61">
        <v>2</v>
      </c>
      <c r="CE221" s="61">
        <v>1</v>
      </c>
      <c r="CF221" s="61"/>
      <c r="CG221" s="61" t="s">
        <v>449</v>
      </c>
    </row>
    <row r="222" ht="13.5" spans="1:85">
      <c r="A222" s="61" t="s">
        <v>838</v>
      </c>
      <c r="B222" s="61" t="s">
        <v>841</v>
      </c>
      <c r="C222" s="61">
        <v>13950</v>
      </c>
      <c r="D222" s="61"/>
      <c r="E222" s="61" t="s">
        <v>842</v>
      </c>
      <c r="F222" s="61" t="b">
        <f>IF(COUNTIF(按提示输入属性!D19,E222)&gt;0,TRUE,FALSE)</f>
        <v>0</v>
      </c>
      <c r="G222" s="61"/>
      <c r="H222" s="61"/>
      <c r="I222" s="61"/>
      <c r="J222" s="61"/>
      <c r="K222" s="61">
        <v>1169</v>
      </c>
      <c r="L222" s="61">
        <f>INT(K222*F342)</f>
        <v>1256</v>
      </c>
      <c r="M222" s="61">
        <v>5432</v>
      </c>
      <c r="N222" s="61">
        <f>INT(M222*F342)</f>
        <v>5840</v>
      </c>
      <c r="O222" s="61">
        <v>5865</v>
      </c>
      <c r="P222" s="61">
        <f>INT(O222*F342)</f>
        <v>6306</v>
      </c>
      <c r="Q222" s="61">
        <v>0</v>
      </c>
      <c r="R222" s="61">
        <f>INT(Q222*F342)</f>
        <v>0</v>
      </c>
      <c r="S222" s="61">
        <v>0</v>
      </c>
      <c r="T222" s="61">
        <f>INT(S222*F342)</f>
        <v>0</v>
      </c>
      <c r="U222" s="61">
        <v>0</v>
      </c>
      <c r="V222" s="61">
        <f>INT(U222*F342)</f>
        <v>0</v>
      </c>
      <c r="W222" s="61">
        <v>6256</v>
      </c>
      <c r="X222" s="61">
        <f>INT(W222*F342)</f>
        <v>6726</v>
      </c>
      <c r="Y222" s="61">
        <v>0</v>
      </c>
      <c r="Z222" s="61">
        <v>1406</v>
      </c>
      <c r="AA222" s="61">
        <v>2343</v>
      </c>
      <c r="AB222" s="61">
        <v>1</v>
      </c>
      <c r="AC222" s="61">
        <v>0</v>
      </c>
      <c r="AD222" s="61">
        <v>1</v>
      </c>
      <c r="AE222" s="61">
        <v>1</v>
      </c>
      <c r="AF222" s="61">
        <v>0</v>
      </c>
      <c r="AG222" s="61">
        <v>0</v>
      </c>
      <c r="AH222" s="61">
        <v>0</v>
      </c>
      <c r="AI222" s="61">
        <v>0</v>
      </c>
      <c r="AJ222" s="61"/>
      <c r="AK222" s="61"/>
      <c r="AL222" s="61"/>
      <c r="AM222" s="61"/>
      <c r="AN222" s="61"/>
      <c r="AO222" s="61"/>
      <c r="AP222" s="61" t="s">
        <v>460</v>
      </c>
      <c r="AQ222" s="61">
        <v>6</v>
      </c>
      <c r="AR222" s="61" t="s">
        <v>449</v>
      </c>
      <c r="AS222" s="61">
        <v>1</v>
      </c>
      <c r="AT222" s="61" t="s">
        <v>450</v>
      </c>
      <c r="AU222" s="61" t="s">
        <v>450</v>
      </c>
      <c r="AV222" s="61" t="s">
        <v>450</v>
      </c>
      <c r="AW222" s="61">
        <v>6028</v>
      </c>
      <c r="AX222" s="61">
        <v>0</v>
      </c>
      <c r="AY222" s="61">
        <v>0</v>
      </c>
      <c r="AZ222" s="61">
        <v>0</v>
      </c>
      <c r="BA222" s="61" t="s">
        <v>451</v>
      </c>
      <c r="BB222" s="61" t="s">
        <v>452</v>
      </c>
      <c r="BC222" s="61" t="s">
        <v>453</v>
      </c>
      <c r="BD222" s="61" t="s">
        <v>454</v>
      </c>
      <c r="BE222" s="61" t="s">
        <v>455</v>
      </c>
      <c r="BF222" s="61" t="s">
        <v>456</v>
      </c>
      <c r="BG222" s="61" t="s">
        <v>456</v>
      </c>
      <c r="BH222" s="61" t="s">
        <v>456</v>
      </c>
      <c r="BI222" s="61" t="s">
        <v>456</v>
      </c>
      <c r="BJ222" s="61" t="s">
        <v>456</v>
      </c>
      <c r="BK222" s="61" t="s">
        <v>456</v>
      </c>
      <c r="BL222" s="61" t="s">
        <v>456</v>
      </c>
      <c r="BM222" s="61">
        <v>2690</v>
      </c>
      <c r="BN222" s="61">
        <v>522</v>
      </c>
      <c r="BO222" s="61">
        <v>1015</v>
      </c>
      <c r="BP222" s="61">
        <v>2617</v>
      </c>
      <c r="BQ222" s="61">
        <v>2326</v>
      </c>
      <c r="BR222" s="61">
        <v>0</v>
      </c>
      <c r="BS222" s="61">
        <v>0</v>
      </c>
      <c r="BT222" s="61">
        <v>0</v>
      </c>
      <c r="BU222" s="61">
        <v>0</v>
      </c>
      <c r="BV222" s="61">
        <v>0</v>
      </c>
      <c r="BW222" s="61">
        <v>0</v>
      </c>
      <c r="BX222" s="61">
        <v>0</v>
      </c>
      <c r="BY222" s="61" t="s">
        <v>452</v>
      </c>
      <c r="BZ222" s="61" t="s">
        <v>456</v>
      </c>
      <c r="CA222" s="61" t="s">
        <v>456</v>
      </c>
      <c r="CB222" s="66"/>
      <c r="CC222" s="61">
        <v>1</v>
      </c>
      <c r="CD222" s="61">
        <v>0</v>
      </c>
      <c r="CE222" s="61">
        <v>1</v>
      </c>
      <c r="CF222" s="61"/>
      <c r="CG222" s="61" t="s">
        <v>449</v>
      </c>
    </row>
    <row r="223" s="55" customFormat="1" spans="1:85">
      <c r="A223" s="63" t="s">
        <v>838</v>
      </c>
      <c r="B223" s="63" t="s">
        <v>843</v>
      </c>
      <c r="C223" s="63">
        <v>13950</v>
      </c>
      <c r="D223" s="63"/>
      <c r="E223" s="63" t="s">
        <v>55</v>
      </c>
      <c r="F223" s="63" t="b">
        <f>IF(COUNTIF(按提示输入属性!D19,E223)&gt;0,TRUE,FALSE)</f>
        <v>1</v>
      </c>
      <c r="G223" s="63"/>
      <c r="H223" s="63"/>
      <c r="I223" s="63"/>
      <c r="J223" s="63"/>
      <c r="K223" s="63">
        <v>1169</v>
      </c>
      <c r="L223" s="63">
        <f>INT(K223*F343)</f>
        <v>1213</v>
      </c>
      <c r="M223" s="63">
        <v>5432</v>
      </c>
      <c r="N223" s="63">
        <f>INT(M223*F343)</f>
        <v>5638</v>
      </c>
      <c r="O223" s="63">
        <v>0</v>
      </c>
      <c r="P223" s="63">
        <f>INT(O223*F343)</f>
        <v>0</v>
      </c>
      <c r="Q223" s="63">
        <v>0</v>
      </c>
      <c r="R223" s="63">
        <f>INT(Q223*F342)</f>
        <v>0</v>
      </c>
      <c r="S223" s="63">
        <v>5865</v>
      </c>
      <c r="T223" s="63">
        <f>INT(S223*F343)</f>
        <v>6088</v>
      </c>
      <c r="U223" s="63">
        <v>0</v>
      </c>
      <c r="V223" s="63">
        <f>INT(U223*F343)</f>
        <v>0</v>
      </c>
      <c r="W223" s="63">
        <v>6256</v>
      </c>
      <c r="X223" s="63">
        <f>INT(W223*F343)+1</f>
        <v>6495</v>
      </c>
      <c r="Y223" s="63">
        <v>0</v>
      </c>
      <c r="Z223" s="63">
        <v>1406</v>
      </c>
      <c r="AA223" s="63">
        <v>2343</v>
      </c>
      <c r="AB223" s="63">
        <v>1</v>
      </c>
      <c r="AC223" s="63">
        <v>1</v>
      </c>
      <c r="AD223" s="63">
        <v>0</v>
      </c>
      <c r="AE223" s="63">
        <v>0</v>
      </c>
      <c r="AF223" s="63">
        <v>1</v>
      </c>
      <c r="AG223" s="63">
        <v>0</v>
      </c>
      <c r="AH223" s="63">
        <v>0</v>
      </c>
      <c r="AI223" s="63">
        <v>0</v>
      </c>
      <c r="AJ223" s="63"/>
      <c r="AK223" s="63"/>
      <c r="AL223" s="63"/>
      <c r="AM223" s="63"/>
      <c r="AN223" s="63">
        <v>2</v>
      </c>
      <c r="AO223" s="63"/>
      <c r="AP223" s="63" t="s">
        <v>817</v>
      </c>
      <c r="AQ223" s="63">
        <v>4</v>
      </c>
      <c r="AR223" s="63" t="s">
        <v>449</v>
      </c>
      <c r="AS223" s="63">
        <v>1</v>
      </c>
      <c r="AT223" s="63" t="s">
        <v>450</v>
      </c>
      <c r="AU223" s="63" t="s">
        <v>450</v>
      </c>
      <c r="AV223" s="63" t="s">
        <v>450</v>
      </c>
      <c r="AW223" s="63">
        <v>6028</v>
      </c>
      <c r="AX223" s="63">
        <v>0</v>
      </c>
      <c r="AY223" s="63">
        <v>0</v>
      </c>
      <c r="AZ223" s="63">
        <v>0</v>
      </c>
      <c r="BA223" s="63" t="s">
        <v>451</v>
      </c>
      <c r="BB223" s="63" t="s">
        <v>452</v>
      </c>
      <c r="BC223" s="63" t="s">
        <v>453</v>
      </c>
      <c r="BD223" s="63" t="s">
        <v>461</v>
      </c>
      <c r="BE223" s="63" t="s">
        <v>455</v>
      </c>
      <c r="BF223" s="63" t="s">
        <v>456</v>
      </c>
      <c r="BG223" s="63" t="s">
        <v>456</v>
      </c>
      <c r="BH223" s="63" t="s">
        <v>456</v>
      </c>
      <c r="BI223" s="63" t="s">
        <v>456</v>
      </c>
      <c r="BJ223" s="63" t="s">
        <v>456</v>
      </c>
      <c r="BK223" s="63" t="s">
        <v>456</v>
      </c>
      <c r="BL223" s="63" t="s">
        <v>456</v>
      </c>
      <c r="BM223" s="63">
        <v>2690</v>
      </c>
      <c r="BN223" s="63">
        <v>522</v>
      </c>
      <c r="BO223" s="63">
        <v>1015</v>
      </c>
      <c r="BP223" s="63">
        <v>2617</v>
      </c>
      <c r="BQ223" s="63">
        <v>2326</v>
      </c>
      <c r="BR223" s="63">
        <v>0</v>
      </c>
      <c r="BS223" s="63">
        <v>0</v>
      </c>
      <c r="BT223" s="63">
        <v>0</v>
      </c>
      <c r="BU223" s="63">
        <v>0</v>
      </c>
      <c r="BV223" s="63">
        <v>0</v>
      </c>
      <c r="BW223" s="63">
        <v>0</v>
      </c>
      <c r="BX223" s="63">
        <v>0</v>
      </c>
      <c r="BY223" s="63" t="s">
        <v>452</v>
      </c>
      <c r="BZ223" s="63" t="s">
        <v>456</v>
      </c>
      <c r="CA223" s="63" t="s">
        <v>456</v>
      </c>
      <c r="CB223" s="65"/>
      <c r="CC223" s="63">
        <v>1</v>
      </c>
      <c r="CD223" s="63">
        <v>0</v>
      </c>
      <c r="CE223" s="63">
        <v>1</v>
      </c>
      <c r="CF223" s="63"/>
      <c r="CG223" s="63" t="s">
        <v>557</v>
      </c>
    </row>
    <row r="224" ht="13.5" spans="1:85">
      <c r="A224" s="61" t="s">
        <v>838</v>
      </c>
      <c r="B224" s="61" t="s">
        <v>844</v>
      </c>
      <c r="C224" s="61">
        <v>13950</v>
      </c>
      <c r="D224" s="61"/>
      <c r="E224" s="61" t="s">
        <v>845</v>
      </c>
      <c r="F224" s="61" t="b">
        <f>IF(COUNTIF(按提示输入属性!D19,E224)&gt;0,TRUE,FALSE)</f>
        <v>0</v>
      </c>
      <c r="G224" s="61"/>
      <c r="H224" s="61"/>
      <c r="I224" s="61"/>
      <c r="J224" s="61"/>
      <c r="K224" s="61">
        <v>1169</v>
      </c>
      <c r="L224" s="61">
        <f>INT(K224*F342)</f>
        <v>1256</v>
      </c>
      <c r="M224" s="61">
        <v>5432</v>
      </c>
      <c r="N224" s="61">
        <f>INT(M224*F342)</f>
        <v>5840</v>
      </c>
      <c r="O224" s="61">
        <v>0</v>
      </c>
      <c r="P224" s="61">
        <f>INT(O224*F342)</f>
        <v>0</v>
      </c>
      <c r="Q224" s="61">
        <v>0</v>
      </c>
      <c r="R224" s="61">
        <f>INT(Q224*F342)</f>
        <v>0</v>
      </c>
      <c r="S224" s="61">
        <v>5865</v>
      </c>
      <c r="T224" s="61">
        <f>INT(S224*F342)</f>
        <v>6306</v>
      </c>
      <c r="U224" s="61">
        <v>6256</v>
      </c>
      <c r="V224" s="61">
        <f>INT(U224*F342)</f>
        <v>6726</v>
      </c>
      <c r="W224" s="61">
        <v>0</v>
      </c>
      <c r="X224" s="61">
        <f>INT(W224*F342)</f>
        <v>0</v>
      </c>
      <c r="Y224" s="61">
        <v>0</v>
      </c>
      <c r="Z224" s="61">
        <v>1406</v>
      </c>
      <c r="AA224" s="61">
        <v>2343</v>
      </c>
      <c r="AB224" s="61">
        <v>1</v>
      </c>
      <c r="AC224" s="61">
        <v>1</v>
      </c>
      <c r="AD224" s="61">
        <v>0</v>
      </c>
      <c r="AE224" s="61">
        <v>0</v>
      </c>
      <c r="AF224" s="61">
        <v>1</v>
      </c>
      <c r="AG224" s="61">
        <v>0</v>
      </c>
      <c r="AH224" s="61">
        <v>0</v>
      </c>
      <c r="AI224" s="61">
        <v>0</v>
      </c>
      <c r="AJ224" s="61"/>
      <c r="AK224" s="61"/>
      <c r="AL224" s="61"/>
      <c r="AM224" s="61"/>
      <c r="AN224" s="61"/>
      <c r="AO224" s="61"/>
      <c r="AP224" s="61" t="s">
        <v>465</v>
      </c>
      <c r="AQ224" s="61">
        <v>6</v>
      </c>
      <c r="AR224" s="61" t="s">
        <v>469</v>
      </c>
      <c r="AS224" s="61">
        <v>1</v>
      </c>
      <c r="AT224" s="61" t="s">
        <v>450</v>
      </c>
      <c r="AU224" s="61" t="s">
        <v>450</v>
      </c>
      <c r="AV224" s="61" t="s">
        <v>450</v>
      </c>
      <c r="AW224" s="61">
        <v>6028</v>
      </c>
      <c r="AX224" s="61">
        <v>0</v>
      </c>
      <c r="AY224" s="61">
        <v>0</v>
      </c>
      <c r="AZ224" s="61">
        <v>0</v>
      </c>
      <c r="BA224" s="61" t="s">
        <v>451</v>
      </c>
      <c r="BB224" s="61" t="s">
        <v>452</v>
      </c>
      <c r="BC224" s="61" t="s">
        <v>656</v>
      </c>
      <c r="BD224" s="61" t="s">
        <v>663</v>
      </c>
      <c r="BE224" s="61" t="s">
        <v>455</v>
      </c>
      <c r="BF224" s="61" t="s">
        <v>456</v>
      </c>
      <c r="BG224" s="61" t="s">
        <v>456</v>
      </c>
      <c r="BH224" s="61" t="s">
        <v>456</v>
      </c>
      <c r="BI224" s="61" t="s">
        <v>456</v>
      </c>
      <c r="BJ224" s="61" t="s">
        <v>456</v>
      </c>
      <c r="BK224" s="61" t="s">
        <v>456</v>
      </c>
      <c r="BL224" s="61" t="s">
        <v>456</v>
      </c>
      <c r="BM224" s="61">
        <v>5380</v>
      </c>
      <c r="BN224" s="61">
        <v>1043</v>
      </c>
      <c r="BO224" s="61">
        <v>4848</v>
      </c>
      <c r="BP224" s="61">
        <v>5234</v>
      </c>
      <c r="BQ224" s="61">
        <v>5583</v>
      </c>
      <c r="BR224" s="61">
        <v>0</v>
      </c>
      <c r="BS224" s="61">
        <v>0</v>
      </c>
      <c r="BT224" s="61">
        <v>0</v>
      </c>
      <c r="BU224" s="61">
        <v>0</v>
      </c>
      <c r="BV224" s="61">
        <v>0</v>
      </c>
      <c r="BW224" s="61">
        <v>0</v>
      </c>
      <c r="BX224" s="61">
        <v>0</v>
      </c>
      <c r="BY224" s="61" t="s">
        <v>452</v>
      </c>
      <c r="BZ224" s="61" t="s">
        <v>656</v>
      </c>
      <c r="CA224" s="61" t="s">
        <v>663</v>
      </c>
      <c r="CB224" s="66"/>
      <c r="CC224" s="61">
        <v>3</v>
      </c>
      <c r="CD224" s="61">
        <v>2</v>
      </c>
      <c r="CE224" s="61">
        <v>1</v>
      </c>
      <c r="CF224" s="61"/>
      <c r="CG224" s="61" t="s">
        <v>557</v>
      </c>
    </row>
    <row r="225" ht="13.5" spans="1:85">
      <c r="A225" s="61" t="s">
        <v>838</v>
      </c>
      <c r="B225" s="61" t="s">
        <v>846</v>
      </c>
      <c r="C225" s="61">
        <v>12600</v>
      </c>
      <c r="D225" s="61"/>
      <c r="E225" s="61" t="s">
        <v>847</v>
      </c>
      <c r="F225" s="61" t="b">
        <f>IF(COUNTIF(按提示输入属性!D19,E225)&gt;0,TRUE,FALSE)</f>
        <v>0</v>
      </c>
      <c r="G225" s="61"/>
      <c r="H225" s="61"/>
      <c r="I225" s="61"/>
      <c r="J225" s="61"/>
      <c r="K225" s="61">
        <v>1056</v>
      </c>
      <c r="L225" s="61">
        <f>INT(K225*F342)</f>
        <v>1135</v>
      </c>
      <c r="M225" s="61">
        <v>4906</v>
      </c>
      <c r="N225" s="61">
        <f>INT(M225*F342)</f>
        <v>5275</v>
      </c>
      <c r="O225" s="61">
        <v>5297</v>
      </c>
      <c r="P225" s="61">
        <f>INT(O225*F342)</f>
        <v>5695</v>
      </c>
      <c r="Q225" s="61">
        <v>0</v>
      </c>
      <c r="R225" s="61">
        <f>INT(Q225*F342)</f>
        <v>0</v>
      </c>
      <c r="S225" s="61">
        <v>0</v>
      </c>
      <c r="T225" s="61">
        <f>INT(S225*F342)</f>
        <v>0</v>
      </c>
      <c r="U225" s="61">
        <v>5651</v>
      </c>
      <c r="V225" s="61">
        <f>INT(U225*F342)</f>
        <v>6076</v>
      </c>
      <c r="W225" s="61">
        <v>0</v>
      </c>
      <c r="X225" s="61">
        <f>INT(W225*F342)</f>
        <v>0</v>
      </c>
      <c r="Y225" s="61">
        <v>0</v>
      </c>
      <c r="Z225" s="61">
        <v>1270</v>
      </c>
      <c r="AA225" s="61">
        <v>2117</v>
      </c>
      <c r="AB225" s="61">
        <v>1</v>
      </c>
      <c r="AC225" s="61">
        <v>1</v>
      </c>
      <c r="AD225" s="61">
        <v>0</v>
      </c>
      <c r="AE225" s="61">
        <v>0</v>
      </c>
      <c r="AF225" s="61">
        <v>1</v>
      </c>
      <c r="AG225" s="61">
        <v>0</v>
      </c>
      <c r="AH225" s="61">
        <v>0</v>
      </c>
      <c r="AI225" s="61">
        <v>0</v>
      </c>
      <c r="AJ225" s="61"/>
      <c r="AK225" s="61"/>
      <c r="AL225" s="61"/>
      <c r="AM225" s="61"/>
      <c r="AN225" s="61"/>
      <c r="AO225" s="61"/>
      <c r="AP225" s="61" t="s">
        <v>468</v>
      </c>
      <c r="AQ225" s="61">
        <v>6</v>
      </c>
      <c r="AR225" s="61" t="s">
        <v>503</v>
      </c>
      <c r="AS225" s="61">
        <v>1</v>
      </c>
      <c r="AT225" s="61" t="s">
        <v>450</v>
      </c>
      <c r="AU225" s="61" t="s">
        <v>450</v>
      </c>
      <c r="AV225" s="61" t="s">
        <v>450</v>
      </c>
      <c r="AW225" s="61">
        <v>5445</v>
      </c>
      <c r="AX225" s="61">
        <v>0</v>
      </c>
      <c r="AY225" s="61">
        <v>0</v>
      </c>
      <c r="AZ225" s="61">
        <v>0</v>
      </c>
      <c r="BA225" s="61" t="s">
        <v>451</v>
      </c>
      <c r="BB225" s="61" t="s">
        <v>452</v>
      </c>
      <c r="BC225" s="61" t="s">
        <v>453</v>
      </c>
      <c r="BD225" s="61" t="s">
        <v>461</v>
      </c>
      <c r="BE225" s="61" t="s">
        <v>462</v>
      </c>
      <c r="BF225" s="61" t="s">
        <v>456</v>
      </c>
      <c r="BG225" s="61" t="s">
        <v>456</v>
      </c>
      <c r="BH225" s="61" t="s">
        <v>456</v>
      </c>
      <c r="BI225" s="61" t="s">
        <v>456</v>
      </c>
      <c r="BJ225" s="61" t="s">
        <v>456</v>
      </c>
      <c r="BK225" s="61" t="s">
        <v>456</v>
      </c>
      <c r="BL225" s="61" t="s">
        <v>456</v>
      </c>
      <c r="BM225" s="61">
        <v>2690</v>
      </c>
      <c r="BN225" s="61">
        <v>522</v>
      </c>
      <c r="BO225" s="61">
        <v>1015</v>
      </c>
      <c r="BP225" s="61">
        <v>2617</v>
      </c>
      <c r="BQ225" s="61">
        <v>2326</v>
      </c>
      <c r="BR225" s="61">
        <v>0</v>
      </c>
      <c r="BS225" s="61">
        <v>0</v>
      </c>
      <c r="BT225" s="61">
        <v>0</v>
      </c>
      <c r="BU225" s="61">
        <v>0</v>
      </c>
      <c r="BV225" s="61">
        <v>0</v>
      </c>
      <c r="BW225" s="61">
        <v>0</v>
      </c>
      <c r="BX225" s="61">
        <v>0</v>
      </c>
      <c r="BY225" s="61" t="s">
        <v>461</v>
      </c>
      <c r="BZ225" s="61" t="s">
        <v>456</v>
      </c>
      <c r="CA225" s="61" t="s">
        <v>456</v>
      </c>
      <c r="CB225" s="66"/>
      <c r="CC225" s="61">
        <v>1</v>
      </c>
      <c r="CD225" s="61">
        <v>1</v>
      </c>
      <c r="CE225" s="61">
        <v>0</v>
      </c>
      <c r="CF225" s="61"/>
      <c r="CG225" s="61" t="s">
        <v>765</v>
      </c>
    </row>
    <row r="226" ht="13.5" spans="1:85">
      <c r="A226" s="61" t="s">
        <v>838</v>
      </c>
      <c r="B226" s="61" t="s">
        <v>848</v>
      </c>
      <c r="C226" s="61">
        <v>12450</v>
      </c>
      <c r="D226" s="61"/>
      <c r="E226" s="61" t="s">
        <v>849</v>
      </c>
      <c r="F226" s="61" t="b">
        <f>IF(COUNTIF(按提示输入属性!D19,E226)&gt;0,TRUE,FALSE)</f>
        <v>0</v>
      </c>
      <c r="G226" s="61"/>
      <c r="H226" s="61"/>
      <c r="I226" s="61"/>
      <c r="J226" s="61"/>
      <c r="K226" s="61">
        <v>1043</v>
      </c>
      <c r="L226" s="61">
        <f>INT(K226*F342)</f>
        <v>1121</v>
      </c>
      <c r="M226" s="61">
        <v>4848</v>
      </c>
      <c r="N226" s="61">
        <f>INT(M226*F342)</f>
        <v>5212</v>
      </c>
      <c r="O226" s="61">
        <v>5234</v>
      </c>
      <c r="P226" s="61">
        <f>INT(O226*F342)</f>
        <v>5627</v>
      </c>
      <c r="Q226" s="61">
        <v>0</v>
      </c>
      <c r="R226" s="61">
        <f>INT(Q226*F342)</f>
        <v>0</v>
      </c>
      <c r="S226" s="61">
        <v>0</v>
      </c>
      <c r="T226" s="61">
        <f>INT(S226*F342)</f>
        <v>0</v>
      </c>
      <c r="U226" s="61">
        <v>0</v>
      </c>
      <c r="V226" s="61">
        <f>INT(U226*F342)</f>
        <v>0</v>
      </c>
      <c r="W226" s="61">
        <v>5583</v>
      </c>
      <c r="X226" s="61">
        <f>INT(W226*F342)</f>
        <v>6003</v>
      </c>
      <c r="Y226" s="61">
        <v>0</v>
      </c>
      <c r="Z226" s="61">
        <v>1255</v>
      </c>
      <c r="AA226" s="61">
        <v>2092</v>
      </c>
      <c r="AB226" s="61">
        <v>1</v>
      </c>
      <c r="AC226" s="61">
        <v>0</v>
      </c>
      <c r="AD226" s="61">
        <v>1</v>
      </c>
      <c r="AE226" s="61">
        <v>1</v>
      </c>
      <c r="AF226" s="61">
        <v>0</v>
      </c>
      <c r="AG226" s="61">
        <v>0</v>
      </c>
      <c r="AH226" s="61">
        <v>0</v>
      </c>
      <c r="AI226" s="61">
        <v>0</v>
      </c>
      <c r="AJ226" s="61"/>
      <c r="AK226" s="61"/>
      <c r="AL226" s="61"/>
      <c r="AM226" s="61"/>
      <c r="AN226" s="61"/>
      <c r="AO226" s="61"/>
      <c r="AP226" s="61" t="s">
        <v>460</v>
      </c>
      <c r="AQ226" s="61">
        <v>6</v>
      </c>
      <c r="AR226" s="61" t="s">
        <v>449</v>
      </c>
      <c r="AS226" s="61">
        <v>1</v>
      </c>
      <c r="AT226" s="61" t="s">
        <v>450</v>
      </c>
      <c r="AU226" s="61" t="s">
        <v>450</v>
      </c>
      <c r="AV226" s="61" t="s">
        <v>450</v>
      </c>
      <c r="AW226" s="61">
        <v>5380</v>
      </c>
      <c r="AX226" s="61">
        <v>0</v>
      </c>
      <c r="AY226" s="61">
        <v>0</v>
      </c>
      <c r="AZ226" s="61">
        <v>0</v>
      </c>
      <c r="BA226" s="61" t="s">
        <v>451</v>
      </c>
      <c r="BB226" s="61" t="s">
        <v>452</v>
      </c>
      <c r="BC226" s="61" t="s">
        <v>656</v>
      </c>
      <c r="BD226" s="61" t="s">
        <v>663</v>
      </c>
      <c r="BE226" s="61" t="s">
        <v>462</v>
      </c>
      <c r="BF226" s="61" t="s">
        <v>456</v>
      </c>
      <c r="BG226" s="61" t="s">
        <v>456</v>
      </c>
      <c r="BH226" s="61" t="s">
        <v>456</v>
      </c>
      <c r="BI226" s="61" t="s">
        <v>456</v>
      </c>
      <c r="BJ226" s="61" t="s">
        <v>456</v>
      </c>
      <c r="BK226" s="61" t="s">
        <v>456</v>
      </c>
      <c r="BL226" s="61" t="s">
        <v>456</v>
      </c>
      <c r="BM226" s="61">
        <v>5380</v>
      </c>
      <c r="BN226" s="61">
        <v>1043</v>
      </c>
      <c r="BO226" s="61">
        <v>4848</v>
      </c>
      <c r="BP226" s="61">
        <v>5234</v>
      </c>
      <c r="BQ226" s="61">
        <v>5583</v>
      </c>
      <c r="BR226" s="61">
        <v>0</v>
      </c>
      <c r="BS226" s="61">
        <v>0</v>
      </c>
      <c r="BT226" s="61">
        <v>0</v>
      </c>
      <c r="BU226" s="61">
        <v>0</v>
      </c>
      <c r="BV226" s="61">
        <v>0</v>
      </c>
      <c r="BW226" s="61">
        <v>0</v>
      </c>
      <c r="BX226" s="61">
        <v>0</v>
      </c>
      <c r="BY226" s="61" t="s">
        <v>656</v>
      </c>
      <c r="BZ226" s="61" t="s">
        <v>452</v>
      </c>
      <c r="CA226" s="61" t="s">
        <v>663</v>
      </c>
      <c r="CB226" s="66"/>
      <c r="CC226" s="61">
        <v>3</v>
      </c>
      <c r="CD226" s="61">
        <v>2</v>
      </c>
      <c r="CE226" s="61">
        <v>1</v>
      </c>
      <c r="CF226" s="61"/>
      <c r="CG226" s="61" t="s">
        <v>765</v>
      </c>
    </row>
    <row r="227" s="55" customFormat="1" spans="1:85">
      <c r="A227" s="63" t="s">
        <v>838</v>
      </c>
      <c r="B227" s="63" t="s">
        <v>850</v>
      </c>
      <c r="C227" s="63">
        <v>12450</v>
      </c>
      <c r="D227" s="63"/>
      <c r="E227" s="63" t="s">
        <v>851</v>
      </c>
      <c r="F227" s="63" t="b">
        <f>IF(COUNTIF(按提示输入属性!D19,E227)&gt;0,TRUE,FALSE)</f>
        <v>0</v>
      </c>
      <c r="G227" s="63"/>
      <c r="H227" s="63"/>
      <c r="I227" s="63"/>
      <c r="J227" s="63"/>
      <c r="K227" s="63">
        <v>1043</v>
      </c>
      <c r="L227" s="63">
        <f>INT(K227*F343)</f>
        <v>1082</v>
      </c>
      <c r="M227" s="63">
        <v>4848</v>
      </c>
      <c r="N227" s="63">
        <f>INT(M227*F343)</f>
        <v>5032</v>
      </c>
      <c r="O227" s="63">
        <v>0</v>
      </c>
      <c r="P227" s="61">
        <f>INT(O227*F343)</f>
        <v>0</v>
      </c>
      <c r="Q227" s="63">
        <v>0</v>
      </c>
      <c r="R227" s="61">
        <f>INT(Q227*F342)</f>
        <v>0</v>
      </c>
      <c r="S227" s="63">
        <v>5234</v>
      </c>
      <c r="T227" s="61">
        <f>INT(S227*F343)</f>
        <v>5433</v>
      </c>
      <c r="U227" s="63">
        <v>0</v>
      </c>
      <c r="V227" s="61">
        <f>INT(U227*F343)</f>
        <v>0</v>
      </c>
      <c r="W227" s="63">
        <v>5583</v>
      </c>
      <c r="X227" s="61">
        <f>INT(W227*F343)</f>
        <v>5795</v>
      </c>
      <c r="Y227" s="63">
        <v>0</v>
      </c>
      <c r="Z227" s="63">
        <v>1255</v>
      </c>
      <c r="AA227" s="63">
        <v>2092</v>
      </c>
      <c r="AB227" s="63">
        <v>1</v>
      </c>
      <c r="AC227" s="63">
        <v>1</v>
      </c>
      <c r="AD227" s="63">
        <v>0</v>
      </c>
      <c r="AE227" s="63">
        <v>0</v>
      </c>
      <c r="AF227" s="63">
        <v>1</v>
      </c>
      <c r="AG227" s="63">
        <v>0</v>
      </c>
      <c r="AH227" s="63">
        <v>0</v>
      </c>
      <c r="AI227" s="63">
        <v>0</v>
      </c>
      <c r="AJ227" s="63"/>
      <c r="AK227" s="63"/>
      <c r="AL227" s="63"/>
      <c r="AM227" s="63"/>
      <c r="AN227" s="70">
        <v>1</v>
      </c>
      <c r="AO227" s="70"/>
      <c r="AP227" s="63" t="s">
        <v>817</v>
      </c>
      <c r="AQ227" s="63">
        <v>4</v>
      </c>
      <c r="AR227" s="63" t="s">
        <v>449</v>
      </c>
      <c r="AS227" s="63">
        <v>1</v>
      </c>
      <c r="AT227" s="63" t="s">
        <v>450</v>
      </c>
      <c r="AU227" s="63" t="s">
        <v>450</v>
      </c>
      <c r="AV227" s="63" t="s">
        <v>450</v>
      </c>
      <c r="AW227" s="63">
        <v>5380</v>
      </c>
      <c r="AX227" s="63">
        <v>0</v>
      </c>
      <c r="AY227" s="63">
        <v>0</v>
      </c>
      <c r="AZ227" s="63">
        <v>0</v>
      </c>
      <c r="BA227" s="63" t="s">
        <v>451</v>
      </c>
      <c r="BB227" s="63" t="s">
        <v>452</v>
      </c>
      <c r="BC227" s="63" t="s">
        <v>656</v>
      </c>
      <c r="BD227" s="63" t="s">
        <v>657</v>
      </c>
      <c r="BE227" s="63" t="s">
        <v>455</v>
      </c>
      <c r="BF227" s="63" t="s">
        <v>852</v>
      </c>
      <c r="BG227" s="63" t="s">
        <v>781</v>
      </c>
      <c r="BH227" s="63" t="s">
        <v>853</v>
      </c>
      <c r="BI227" s="63" t="s">
        <v>854</v>
      </c>
      <c r="BJ227" s="63" t="s">
        <v>821</v>
      </c>
      <c r="BK227" s="63" t="s">
        <v>456</v>
      </c>
      <c r="BL227" s="63" t="s">
        <v>456</v>
      </c>
      <c r="BM227" s="63">
        <v>5315</v>
      </c>
      <c r="BN227" s="63">
        <v>1031</v>
      </c>
      <c r="BO227" s="63">
        <v>4789</v>
      </c>
      <c r="BP227" s="63">
        <v>5171</v>
      </c>
      <c r="BQ227" s="63">
        <v>5516</v>
      </c>
      <c r="BR227" s="63">
        <v>480</v>
      </c>
      <c r="BS227" s="63">
        <v>200</v>
      </c>
      <c r="BT227" s="63">
        <v>10000</v>
      </c>
      <c r="BU227" s="63">
        <v>10000</v>
      </c>
      <c r="BV227" s="63">
        <v>1194</v>
      </c>
      <c r="BW227" s="63">
        <v>0</v>
      </c>
      <c r="BX227" s="63">
        <v>0</v>
      </c>
      <c r="BY227" s="63" t="s">
        <v>656</v>
      </c>
      <c r="BZ227" s="63" t="s">
        <v>452</v>
      </c>
      <c r="CA227" s="63" t="s">
        <v>663</v>
      </c>
      <c r="CB227" s="65"/>
      <c r="CC227" s="63">
        <v>3</v>
      </c>
      <c r="CD227" s="63">
        <v>2</v>
      </c>
      <c r="CE227" s="63">
        <v>1</v>
      </c>
      <c r="CF227" s="63"/>
      <c r="CG227" s="63" t="s">
        <v>503</v>
      </c>
    </row>
    <row r="228" ht="13.5" spans="1:85">
      <c r="A228" s="61" t="s">
        <v>838</v>
      </c>
      <c r="B228" s="61" t="s">
        <v>855</v>
      </c>
      <c r="C228" s="61">
        <v>12450</v>
      </c>
      <c r="D228" s="61"/>
      <c r="E228" s="61" t="s">
        <v>856</v>
      </c>
      <c r="F228" s="61" t="b">
        <f>IF(COUNTIF(按提示输入属性!D19,E228)&gt;0,TRUE,FALSE)</f>
        <v>0</v>
      </c>
      <c r="G228" s="61"/>
      <c r="H228" s="61"/>
      <c r="I228" s="61"/>
      <c r="J228" s="61"/>
      <c r="K228" s="61">
        <v>1043</v>
      </c>
      <c r="L228" s="61">
        <f>INT(K228*F342)</f>
        <v>1121</v>
      </c>
      <c r="M228" s="61">
        <v>4848</v>
      </c>
      <c r="N228" s="61">
        <f>INT(M228*F342)</f>
        <v>5212</v>
      </c>
      <c r="O228" s="61">
        <v>0</v>
      </c>
      <c r="P228" s="61">
        <f>INT(O228*F342)</f>
        <v>0</v>
      </c>
      <c r="Q228" s="61">
        <v>0</v>
      </c>
      <c r="R228" s="61">
        <f>INT(Q228*F342)</f>
        <v>0</v>
      </c>
      <c r="S228" s="61">
        <v>5234</v>
      </c>
      <c r="T228" s="61">
        <f>INT(S228*F342)</f>
        <v>5627</v>
      </c>
      <c r="U228" s="61">
        <v>5583</v>
      </c>
      <c r="V228" s="61">
        <f>INT(U228*F342)</f>
        <v>6003</v>
      </c>
      <c r="W228" s="61">
        <v>0</v>
      </c>
      <c r="X228" s="61">
        <f>INT(W228*F342)</f>
        <v>0</v>
      </c>
      <c r="Y228" s="61">
        <v>0</v>
      </c>
      <c r="Z228" s="61">
        <v>1255</v>
      </c>
      <c r="AA228" s="61">
        <v>2092</v>
      </c>
      <c r="AB228" s="61">
        <v>1</v>
      </c>
      <c r="AC228" s="61">
        <v>1</v>
      </c>
      <c r="AD228" s="61">
        <v>0</v>
      </c>
      <c r="AE228" s="61">
        <v>0</v>
      </c>
      <c r="AF228" s="61">
        <v>1</v>
      </c>
      <c r="AG228" s="61">
        <v>0</v>
      </c>
      <c r="AH228" s="61">
        <v>0</v>
      </c>
      <c r="AI228" s="61">
        <v>0</v>
      </c>
      <c r="AJ228" s="61"/>
      <c r="AK228" s="61"/>
      <c r="AL228" s="61"/>
      <c r="AM228" s="61"/>
      <c r="AN228" s="61"/>
      <c r="AO228" s="61"/>
      <c r="AP228" s="61" t="s">
        <v>465</v>
      </c>
      <c r="AQ228" s="61">
        <v>6</v>
      </c>
      <c r="AR228" s="61" t="s">
        <v>469</v>
      </c>
      <c r="AS228" s="61">
        <v>1</v>
      </c>
      <c r="AT228" s="61" t="s">
        <v>450</v>
      </c>
      <c r="AU228" s="61" t="s">
        <v>450</v>
      </c>
      <c r="AV228" s="61" t="s">
        <v>450</v>
      </c>
      <c r="AW228" s="61">
        <v>5380</v>
      </c>
      <c r="AX228" s="61">
        <v>0</v>
      </c>
      <c r="AY228" s="61">
        <v>0</v>
      </c>
      <c r="AZ228" s="61">
        <v>0</v>
      </c>
      <c r="BA228" s="61" t="s">
        <v>453</v>
      </c>
      <c r="BB228" s="61" t="s">
        <v>462</v>
      </c>
      <c r="BC228" s="61" t="s">
        <v>456</v>
      </c>
      <c r="BD228" s="61" t="s">
        <v>456</v>
      </c>
      <c r="BE228" s="61" t="s">
        <v>456</v>
      </c>
      <c r="BF228" s="61" t="s">
        <v>456</v>
      </c>
      <c r="BG228" s="61" t="s">
        <v>456</v>
      </c>
      <c r="BH228" s="61" t="s">
        <v>456</v>
      </c>
      <c r="BI228" s="61" t="s">
        <v>456</v>
      </c>
      <c r="BJ228" s="61" t="s">
        <v>456</v>
      </c>
      <c r="BK228" s="61" t="s">
        <v>456</v>
      </c>
      <c r="BL228" s="61" t="s">
        <v>456</v>
      </c>
      <c r="BM228" s="61">
        <v>2581</v>
      </c>
      <c r="BN228" s="61">
        <v>5017</v>
      </c>
      <c r="BO228" s="61">
        <v>0</v>
      </c>
      <c r="BP228" s="61">
        <v>0</v>
      </c>
      <c r="BQ228" s="61">
        <v>0</v>
      </c>
      <c r="BR228" s="61">
        <v>0</v>
      </c>
      <c r="BS228" s="61">
        <v>0</v>
      </c>
      <c r="BT228" s="61">
        <v>0</v>
      </c>
      <c r="BU228" s="61">
        <v>0</v>
      </c>
      <c r="BV228" s="61">
        <v>0</v>
      </c>
      <c r="BW228" s="61">
        <v>0</v>
      </c>
      <c r="BX228" s="61">
        <v>0</v>
      </c>
      <c r="BY228" s="61" t="s">
        <v>487</v>
      </c>
      <c r="BZ228" s="61" t="s">
        <v>456</v>
      </c>
      <c r="CA228" s="61" t="s">
        <v>456</v>
      </c>
      <c r="CB228" s="66"/>
      <c r="CC228" s="61">
        <v>1</v>
      </c>
      <c r="CD228" s="61">
        <v>1</v>
      </c>
      <c r="CE228" s="61">
        <v>0</v>
      </c>
      <c r="CF228" s="61"/>
      <c r="CG228" s="61" t="s">
        <v>473</v>
      </c>
    </row>
    <row r="229" ht="13.5" spans="1:85">
      <c r="A229" s="61" t="s">
        <v>838</v>
      </c>
      <c r="B229" s="61" t="s">
        <v>857</v>
      </c>
      <c r="C229" s="61">
        <v>12450</v>
      </c>
      <c r="D229" s="61"/>
      <c r="E229" s="61" t="s">
        <v>858</v>
      </c>
      <c r="F229" s="61" t="b">
        <f>IF(COUNTIF(按提示输入属性!D19,E229)&gt;0,TRUE,FALSE)</f>
        <v>0</v>
      </c>
      <c r="G229" s="61"/>
      <c r="H229" s="61"/>
      <c r="I229" s="61"/>
      <c r="J229" s="61"/>
      <c r="K229" s="61">
        <v>1043</v>
      </c>
      <c r="L229" s="61">
        <f>INT(K229*F342)</f>
        <v>1121</v>
      </c>
      <c r="M229" s="61">
        <v>4848</v>
      </c>
      <c r="N229" s="61">
        <f>INT(M229*F342)</f>
        <v>5212</v>
      </c>
      <c r="O229" s="61">
        <v>0</v>
      </c>
      <c r="P229" s="61">
        <f>INT(O229*F342)</f>
        <v>0</v>
      </c>
      <c r="Q229" s="61">
        <v>0</v>
      </c>
      <c r="R229" s="61">
        <f>INT(Q229*F342)</f>
        <v>0</v>
      </c>
      <c r="S229" s="61">
        <v>5234</v>
      </c>
      <c r="T229" s="61">
        <f>INT(S229*F342)</f>
        <v>5627</v>
      </c>
      <c r="U229" s="61">
        <v>0</v>
      </c>
      <c r="V229" s="61">
        <f>INT(U229*F342)</f>
        <v>0</v>
      </c>
      <c r="W229" s="61">
        <v>5583</v>
      </c>
      <c r="X229" s="61">
        <f>INT(W229*F342)</f>
        <v>6003</v>
      </c>
      <c r="Y229" s="61">
        <v>0</v>
      </c>
      <c r="Z229" s="61">
        <v>1255</v>
      </c>
      <c r="AA229" s="61">
        <v>2092</v>
      </c>
      <c r="AB229" s="61">
        <v>1</v>
      </c>
      <c r="AC229" s="61">
        <v>1</v>
      </c>
      <c r="AD229" s="61">
        <v>0</v>
      </c>
      <c r="AE229" s="61">
        <v>0</v>
      </c>
      <c r="AF229" s="61">
        <v>1</v>
      </c>
      <c r="AG229" s="61">
        <v>0</v>
      </c>
      <c r="AH229" s="61">
        <v>0</v>
      </c>
      <c r="AI229" s="61">
        <v>0</v>
      </c>
      <c r="AJ229" s="61"/>
      <c r="AK229" s="61"/>
      <c r="AL229" s="61"/>
      <c r="AM229" s="61"/>
      <c r="AN229" s="61"/>
      <c r="AO229" s="61"/>
      <c r="AP229" s="61" t="s">
        <v>486</v>
      </c>
      <c r="AQ229" s="61">
        <v>6</v>
      </c>
      <c r="AR229" s="61" t="s">
        <v>499</v>
      </c>
      <c r="AS229" s="61">
        <v>1</v>
      </c>
      <c r="AT229" s="61" t="s">
        <v>450</v>
      </c>
      <c r="AU229" s="61" t="s">
        <v>450</v>
      </c>
      <c r="AV229" s="61" t="s">
        <v>450</v>
      </c>
      <c r="AW229" s="61">
        <v>5380</v>
      </c>
      <c r="AX229" s="61">
        <v>0</v>
      </c>
      <c r="AY229" s="61">
        <v>0</v>
      </c>
      <c r="AZ229" s="61">
        <v>0</v>
      </c>
      <c r="BA229" s="61" t="s">
        <v>453</v>
      </c>
      <c r="BB229" s="61" t="s">
        <v>455</v>
      </c>
      <c r="BC229" s="61" t="s">
        <v>487</v>
      </c>
      <c r="BD229" s="61" t="s">
        <v>456</v>
      </c>
      <c r="BE229" s="61" t="s">
        <v>456</v>
      </c>
      <c r="BF229" s="61" t="s">
        <v>456</v>
      </c>
      <c r="BG229" s="61" t="s">
        <v>456</v>
      </c>
      <c r="BH229" s="61" t="s">
        <v>456</v>
      </c>
      <c r="BI229" s="61" t="s">
        <v>456</v>
      </c>
      <c r="BJ229" s="61" t="s">
        <v>456</v>
      </c>
      <c r="BK229" s="61" t="s">
        <v>456</v>
      </c>
      <c r="BL229" s="61" t="s">
        <v>456</v>
      </c>
      <c r="BM229" s="61">
        <v>2201</v>
      </c>
      <c r="BN229" s="61">
        <v>2968</v>
      </c>
      <c r="BO229" s="61">
        <v>2826</v>
      </c>
      <c r="BP229" s="61">
        <v>0</v>
      </c>
      <c r="BQ229" s="61">
        <v>0</v>
      </c>
      <c r="BR229" s="61">
        <v>0</v>
      </c>
      <c r="BS229" s="61">
        <v>0</v>
      </c>
      <c r="BT229" s="61">
        <v>0</v>
      </c>
      <c r="BU229" s="61">
        <v>0</v>
      </c>
      <c r="BV229" s="61">
        <v>0</v>
      </c>
      <c r="BW229" s="61">
        <v>0</v>
      </c>
      <c r="BX229" s="61">
        <v>0</v>
      </c>
      <c r="BY229" s="61" t="s">
        <v>490</v>
      </c>
      <c r="BZ229" s="61" t="s">
        <v>456</v>
      </c>
      <c r="CA229" s="61" t="s">
        <v>456</v>
      </c>
      <c r="CB229" s="66"/>
      <c r="CC229" s="61">
        <v>1</v>
      </c>
      <c r="CD229" s="61">
        <v>1</v>
      </c>
      <c r="CE229" s="61">
        <v>0</v>
      </c>
      <c r="CF229" s="61"/>
      <c r="CG229" s="61" t="s">
        <v>473</v>
      </c>
    </row>
    <row r="230" s="57" customFormat="1" spans="1:85">
      <c r="A230" s="67" t="s">
        <v>838</v>
      </c>
      <c r="B230" s="67" t="s">
        <v>859</v>
      </c>
      <c r="C230" s="67">
        <v>11300</v>
      </c>
      <c r="D230" s="67"/>
      <c r="E230" s="67" t="s">
        <v>860</v>
      </c>
      <c r="F230" s="67" t="b">
        <f>IF(COUNTIF(按提示输入属性!D19,E230)&gt;0,TRUE,FALSE)</f>
        <v>0</v>
      </c>
      <c r="G230" s="67"/>
      <c r="H230" s="67"/>
      <c r="I230" s="67"/>
      <c r="J230" s="67"/>
      <c r="K230" s="67">
        <v>1315</v>
      </c>
      <c r="L230" s="67">
        <f>INT(K230*F341)</f>
        <v>1478</v>
      </c>
      <c r="M230" s="67">
        <v>5914</v>
      </c>
      <c r="N230" s="67">
        <f>INT(M230*F341)</f>
        <v>6647</v>
      </c>
      <c r="O230" s="67">
        <v>5682</v>
      </c>
      <c r="P230" s="67">
        <f>INT(O230*F341)</f>
        <v>6386</v>
      </c>
      <c r="Q230" s="67">
        <v>0</v>
      </c>
      <c r="R230" s="67">
        <f>INT(Q230*F342)</f>
        <v>0</v>
      </c>
      <c r="S230" s="67">
        <v>5315</v>
      </c>
      <c r="T230" s="67">
        <f>INT(S230*F341)</f>
        <v>5974</v>
      </c>
      <c r="U230" s="67">
        <v>0</v>
      </c>
      <c r="V230" s="67">
        <f>INT(U230*F342)</f>
        <v>0</v>
      </c>
      <c r="W230" s="67">
        <v>0</v>
      </c>
      <c r="X230" s="67">
        <f>INT(W230*F342)</f>
        <v>0</v>
      </c>
      <c r="Y230" s="67">
        <v>1833</v>
      </c>
      <c r="Z230" s="67">
        <v>1582</v>
      </c>
      <c r="AA230" s="67">
        <v>2637</v>
      </c>
      <c r="AB230" s="67">
        <v>1</v>
      </c>
      <c r="AC230" s="67">
        <v>1</v>
      </c>
      <c r="AD230" s="67">
        <v>0</v>
      </c>
      <c r="AE230" s="67">
        <v>0</v>
      </c>
      <c r="AF230" s="67">
        <v>1</v>
      </c>
      <c r="AG230" s="67">
        <v>0</v>
      </c>
      <c r="AH230" s="67">
        <v>0</v>
      </c>
      <c r="AI230" s="67">
        <v>0</v>
      </c>
      <c r="AJ230" s="67"/>
      <c r="AK230" s="67"/>
      <c r="AL230" s="67"/>
      <c r="AM230" s="67"/>
      <c r="AN230" s="67"/>
      <c r="AO230" s="67"/>
      <c r="AP230" s="67" t="s">
        <v>861</v>
      </c>
      <c r="AQ230" s="67">
        <v>8</v>
      </c>
      <c r="AR230" s="67" t="s">
        <v>862</v>
      </c>
      <c r="AS230" s="67">
        <v>1</v>
      </c>
      <c r="AT230" s="67" t="s">
        <v>450</v>
      </c>
      <c r="AU230" s="67" t="s">
        <v>450</v>
      </c>
      <c r="AV230" s="67" t="s">
        <v>450</v>
      </c>
      <c r="AW230" s="67">
        <v>6782</v>
      </c>
      <c r="AX230" s="67">
        <v>0</v>
      </c>
      <c r="AY230" s="67">
        <v>0</v>
      </c>
      <c r="AZ230" s="67">
        <v>0</v>
      </c>
      <c r="BA230" s="67" t="s">
        <v>451</v>
      </c>
      <c r="BB230" s="67" t="s">
        <v>452</v>
      </c>
      <c r="BC230" s="67" t="s">
        <v>656</v>
      </c>
      <c r="BD230" s="67" t="s">
        <v>657</v>
      </c>
      <c r="BE230" s="67" t="s">
        <v>663</v>
      </c>
      <c r="BF230" s="67" t="s">
        <v>587</v>
      </c>
      <c r="BG230" s="67" t="s">
        <v>863</v>
      </c>
      <c r="BH230" s="67" t="s">
        <v>863</v>
      </c>
      <c r="BI230" s="67" t="s">
        <v>821</v>
      </c>
      <c r="BJ230" s="67" t="s">
        <v>821</v>
      </c>
      <c r="BK230" s="67" t="s">
        <v>456</v>
      </c>
      <c r="BL230" s="67" t="s">
        <v>456</v>
      </c>
      <c r="BM230" s="67">
        <v>6782</v>
      </c>
      <c r="BN230" s="67">
        <v>1315</v>
      </c>
      <c r="BO230" s="67">
        <v>5914</v>
      </c>
      <c r="BP230" s="67">
        <v>5682</v>
      </c>
      <c r="BQ230" s="67">
        <v>5315</v>
      </c>
      <c r="BR230" s="67">
        <v>1833</v>
      </c>
      <c r="BS230" s="67">
        <v>1520</v>
      </c>
      <c r="BT230" s="67">
        <v>1521</v>
      </c>
      <c r="BU230" s="67">
        <v>2418</v>
      </c>
      <c r="BV230" s="67">
        <v>1931</v>
      </c>
      <c r="BW230" s="67">
        <v>0</v>
      </c>
      <c r="BX230" s="67">
        <v>0</v>
      </c>
      <c r="BY230" s="67" t="s">
        <v>656</v>
      </c>
      <c r="BZ230" s="67" t="s">
        <v>452</v>
      </c>
      <c r="CA230" s="67" t="s">
        <v>663</v>
      </c>
      <c r="CB230" s="71"/>
      <c r="CC230" s="67">
        <v>3</v>
      </c>
      <c r="CD230" s="67">
        <v>2</v>
      </c>
      <c r="CE230" s="67">
        <v>1</v>
      </c>
      <c r="CF230" s="67"/>
      <c r="CG230" s="67" t="s">
        <v>862</v>
      </c>
    </row>
    <row r="231" s="57" customFormat="1" spans="1:85">
      <c r="A231" s="67" t="s">
        <v>838</v>
      </c>
      <c r="B231" s="67" t="s">
        <v>859</v>
      </c>
      <c r="C231" s="67">
        <v>10800</v>
      </c>
      <c r="D231" s="67"/>
      <c r="E231" s="67" t="s">
        <v>864</v>
      </c>
      <c r="F231" s="67" t="b">
        <f>IF(COUNTIF(按提示输入属性!D19,E231)&gt;0,TRUE,FALSE)</f>
        <v>0</v>
      </c>
      <c r="G231" s="67"/>
      <c r="H231" s="67"/>
      <c r="I231" s="67"/>
      <c r="J231" s="67"/>
      <c r="K231" s="67">
        <v>1257</v>
      </c>
      <c r="L231" s="67">
        <f>INT(K231*F341)</f>
        <v>1412</v>
      </c>
      <c r="M231" s="67">
        <v>5653</v>
      </c>
      <c r="N231" s="67">
        <f>INT(M231*F341)</f>
        <v>6354</v>
      </c>
      <c r="O231" s="67">
        <v>5431</v>
      </c>
      <c r="P231" s="67">
        <f>INT(O231*F341)</f>
        <v>6104</v>
      </c>
      <c r="Q231" s="67">
        <v>0</v>
      </c>
      <c r="R231" s="67">
        <f>INT(Q231*F342)</f>
        <v>0</v>
      </c>
      <c r="S231" s="67">
        <v>5080</v>
      </c>
      <c r="T231" s="67">
        <f>INT(S231*F341)</f>
        <v>5710</v>
      </c>
      <c r="U231" s="67">
        <v>0</v>
      </c>
      <c r="V231" s="67">
        <f>INT(U231*F342)</f>
        <v>0</v>
      </c>
      <c r="W231" s="67">
        <v>0</v>
      </c>
      <c r="X231" s="67">
        <f>INT(W231*F342)</f>
        <v>0</v>
      </c>
      <c r="Y231" s="67">
        <v>1752</v>
      </c>
      <c r="Z231" s="67">
        <v>1512</v>
      </c>
      <c r="AA231" s="67">
        <v>2520</v>
      </c>
      <c r="AB231" s="67">
        <v>1</v>
      </c>
      <c r="AC231" s="67">
        <v>1</v>
      </c>
      <c r="AD231" s="67">
        <v>0</v>
      </c>
      <c r="AE231" s="67">
        <v>0</v>
      </c>
      <c r="AF231" s="67">
        <v>1</v>
      </c>
      <c r="AG231" s="67">
        <v>0</v>
      </c>
      <c r="AH231" s="67">
        <v>0</v>
      </c>
      <c r="AI231" s="67">
        <v>0</v>
      </c>
      <c r="AJ231" s="67"/>
      <c r="AK231" s="67"/>
      <c r="AL231" s="67"/>
      <c r="AM231" s="67"/>
      <c r="AN231" s="67"/>
      <c r="AO231" s="67"/>
      <c r="AP231" s="67" t="s">
        <v>861</v>
      </c>
      <c r="AQ231" s="67">
        <v>8</v>
      </c>
      <c r="AR231" s="67" t="s">
        <v>862</v>
      </c>
      <c r="AS231" s="67">
        <v>1</v>
      </c>
      <c r="AT231" s="67" t="s">
        <v>450</v>
      </c>
      <c r="AU231" s="67" t="s">
        <v>450</v>
      </c>
      <c r="AV231" s="67" t="s">
        <v>450</v>
      </c>
      <c r="AW231" s="67">
        <v>6482</v>
      </c>
      <c r="AX231" s="67">
        <v>0</v>
      </c>
      <c r="AY231" s="67">
        <v>0</v>
      </c>
      <c r="AZ231" s="67">
        <v>0</v>
      </c>
      <c r="BA231" s="67" t="s">
        <v>451</v>
      </c>
      <c r="BB231" s="67" t="s">
        <v>452</v>
      </c>
      <c r="BC231" s="67" t="s">
        <v>656</v>
      </c>
      <c r="BD231" s="67" t="s">
        <v>657</v>
      </c>
      <c r="BE231" s="67" t="s">
        <v>663</v>
      </c>
      <c r="BF231" s="67" t="s">
        <v>587</v>
      </c>
      <c r="BG231" s="67" t="s">
        <v>863</v>
      </c>
      <c r="BH231" s="67" t="s">
        <v>863</v>
      </c>
      <c r="BI231" s="67" t="s">
        <v>821</v>
      </c>
      <c r="BJ231" s="67" t="s">
        <v>821</v>
      </c>
      <c r="BK231" s="67" t="s">
        <v>456</v>
      </c>
      <c r="BL231" s="67" t="s">
        <v>456</v>
      </c>
      <c r="BM231" s="67">
        <v>6482</v>
      </c>
      <c r="BN231" s="67">
        <v>1257</v>
      </c>
      <c r="BO231" s="67">
        <v>5653</v>
      </c>
      <c r="BP231" s="67">
        <v>5431</v>
      </c>
      <c r="BQ231" s="67">
        <v>5080</v>
      </c>
      <c r="BR231" s="67">
        <v>1752</v>
      </c>
      <c r="BS231" s="67">
        <v>1520</v>
      </c>
      <c r="BT231" s="67">
        <v>1521</v>
      </c>
      <c r="BU231" s="67">
        <v>2418</v>
      </c>
      <c r="BV231" s="67">
        <v>1931</v>
      </c>
      <c r="BW231" s="67">
        <v>0</v>
      </c>
      <c r="BX231" s="67">
        <v>0</v>
      </c>
      <c r="BY231" s="67" t="s">
        <v>656</v>
      </c>
      <c r="BZ231" s="67" t="s">
        <v>452</v>
      </c>
      <c r="CA231" s="67" t="s">
        <v>663</v>
      </c>
      <c r="CB231" s="71"/>
      <c r="CC231" s="67">
        <v>3</v>
      </c>
      <c r="CD231" s="67">
        <v>2</v>
      </c>
      <c r="CE231" s="67">
        <v>1</v>
      </c>
      <c r="CF231" s="67"/>
      <c r="CG231" s="67" t="s">
        <v>862</v>
      </c>
    </row>
    <row r="232" s="57" customFormat="1" spans="1:85">
      <c r="A232" s="67" t="s">
        <v>838</v>
      </c>
      <c r="B232" s="67" t="s">
        <v>859</v>
      </c>
      <c r="C232" s="67">
        <v>10300</v>
      </c>
      <c r="D232" s="67"/>
      <c r="E232" s="67" t="s">
        <v>865</v>
      </c>
      <c r="F232" s="67" t="b">
        <f>IF(COUNTIF(按提示输入属性!D19,E232)&gt;0,TRUE,FALSE)</f>
        <v>0</v>
      </c>
      <c r="G232" s="67"/>
      <c r="H232" s="67"/>
      <c r="I232" s="67"/>
      <c r="J232" s="67"/>
      <c r="K232" s="67">
        <v>1199</v>
      </c>
      <c r="L232" s="67">
        <f>INT(K232*F341)</f>
        <v>1347</v>
      </c>
      <c r="M232" s="67">
        <v>5391</v>
      </c>
      <c r="N232" s="67">
        <f>INT(M232*F341)</f>
        <v>6059</v>
      </c>
      <c r="O232" s="67">
        <v>5179</v>
      </c>
      <c r="P232" s="67">
        <f>INT(O232*F341)</f>
        <v>5821</v>
      </c>
      <c r="Q232" s="67">
        <v>0</v>
      </c>
      <c r="R232" s="67">
        <f>INT(Q232*F342)</f>
        <v>0</v>
      </c>
      <c r="S232" s="67">
        <v>4845</v>
      </c>
      <c r="T232" s="67">
        <f>INT(S232*F341)</f>
        <v>5446</v>
      </c>
      <c r="U232" s="67">
        <v>0</v>
      </c>
      <c r="V232" s="67">
        <f>INT(U232*F342)</f>
        <v>0</v>
      </c>
      <c r="W232" s="67">
        <v>0</v>
      </c>
      <c r="X232" s="67">
        <f>INT(W232*F342)</f>
        <v>0</v>
      </c>
      <c r="Y232" s="67">
        <v>1671</v>
      </c>
      <c r="Z232" s="67">
        <v>1442</v>
      </c>
      <c r="AA232" s="67">
        <v>2403</v>
      </c>
      <c r="AB232" s="67">
        <v>1</v>
      </c>
      <c r="AC232" s="67">
        <v>1</v>
      </c>
      <c r="AD232" s="67">
        <v>0</v>
      </c>
      <c r="AE232" s="67">
        <v>0</v>
      </c>
      <c r="AF232" s="67">
        <v>1</v>
      </c>
      <c r="AG232" s="67">
        <v>0</v>
      </c>
      <c r="AH232" s="67">
        <v>0</v>
      </c>
      <c r="AI232" s="67">
        <v>0</v>
      </c>
      <c r="AJ232" s="67"/>
      <c r="AK232" s="67"/>
      <c r="AL232" s="67"/>
      <c r="AM232" s="67"/>
      <c r="AN232" s="67"/>
      <c r="AO232" s="67"/>
      <c r="AP232" s="67" t="s">
        <v>861</v>
      </c>
      <c r="AQ232" s="67">
        <v>8</v>
      </c>
      <c r="AR232" s="67" t="s">
        <v>862</v>
      </c>
      <c r="AS232" s="67">
        <v>1</v>
      </c>
      <c r="AT232" s="67" t="s">
        <v>450</v>
      </c>
      <c r="AU232" s="67" t="s">
        <v>450</v>
      </c>
      <c r="AV232" s="67" t="s">
        <v>450</v>
      </c>
      <c r="AW232" s="67">
        <v>6182</v>
      </c>
      <c r="AX232" s="67">
        <v>0</v>
      </c>
      <c r="AY232" s="67">
        <v>0</v>
      </c>
      <c r="AZ232" s="67">
        <v>0</v>
      </c>
      <c r="BA232" s="67" t="s">
        <v>451</v>
      </c>
      <c r="BB232" s="67" t="s">
        <v>452</v>
      </c>
      <c r="BC232" s="67" t="s">
        <v>656</v>
      </c>
      <c r="BD232" s="67" t="s">
        <v>657</v>
      </c>
      <c r="BE232" s="67" t="s">
        <v>663</v>
      </c>
      <c r="BF232" s="67" t="s">
        <v>587</v>
      </c>
      <c r="BG232" s="67" t="s">
        <v>863</v>
      </c>
      <c r="BH232" s="67" t="s">
        <v>863</v>
      </c>
      <c r="BI232" s="67" t="s">
        <v>821</v>
      </c>
      <c r="BJ232" s="67" t="s">
        <v>821</v>
      </c>
      <c r="BK232" s="67" t="s">
        <v>456</v>
      </c>
      <c r="BL232" s="67" t="s">
        <v>456</v>
      </c>
      <c r="BM232" s="67">
        <v>6182</v>
      </c>
      <c r="BN232" s="67">
        <v>1199</v>
      </c>
      <c r="BO232" s="67">
        <v>5391</v>
      </c>
      <c r="BP232" s="67">
        <v>5179</v>
      </c>
      <c r="BQ232" s="67">
        <v>4845</v>
      </c>
      <c r="BR232" s="67">
        <v>1671</v>
      </c>
      <c r="BS232" s="67">
        <v>1520</v>
      </c>
      <c r="BT232" s="67">
        <v>1521</v>
      </c>
      <c r="BU232" s="67">
        <v>2418</v>
      </c>
      <c r="BV232" s="67">
        <v>1931</v>
      </c>
      <c r="BW232" s="67">
        <v>0</v>
      </c>
      <c r="BX232" s="67">
        <v>0</v>
      </c>
      <c r="BY232" s="67" t="s">
        <v>656</v>
      </c>
      <c r="BZ232" s="67" t="s">
        <v>452</v>
      </c>
      <c r="CA232" s="67" t="s">
        <v>663</v>
      </c>
      <c r="CB232" s="71"/>
      <c r="CC232" s="67">
        <v>3</v>
      </c>
      <c r="CD232" s="67">
        <v>2</v>
      </c>
      <c r="CE232" s="67">
        <v>1</v>
      </c>
      <c r="CF232" s="67"/>
      <c r="CG232" s="67" t="s">
        <v>862</v>
      </c>
    </row>
    <row r="233" s="58" customFormat="1" spans="1:85">
      <c r="A233" s="67" t="s">
        <v>838</v>
      </c>
      <c r="B233" s="68" t="s">
        <v>866</v>
      </c>
      <c r="C233" s="68">
        <v>10900</v>
      </c>
      <c r="D233" s="68"/>
      <c r="E233" s="68" t="s">
        <v>867</v>
      </c>
      <c r="F233" s="67" t="b">
        <f>IF(COUNTIF(按提示输入属性!D19,E233)&gt;0,TRUE,FALSE)</f>
        <v>0</v>
      </c>
      <c r="G233" s="67"/>
      <c r="H233" s="68"/>
      <c r="I233" s="68"/>
      <c r="J233" s="68"/>
      <c r="K233" s="68">
        <v>1269</v>
      </c>
      <c r="L233" s="67">
        <f>INT(K233*F341)</f>
        <v>1426</v>
      </c>
      <c r="M233" s="68">
        <v>5705</v>
      </c>
      <c r="N233" s="67">
        <f>INT(M233*F341)</f>
        <v>6412</v>
      </c>
      <c r="O233" s="68">
        <v>5481</v>
      </c>
      <c r="P233" s="67">
        <f>INT(O233*F341)</f>
        <v>6161</v>
      </c>
      <c r="Q233" s="68">
        <v>0</v>
      </c>
      <c r="R233" s="68"/>
      <c r="S233" s="68">
        <v>5127</v>
      </c>
      <c r="T233" s="67">
        <f>INT(S233*F341)</f>
        <v>5763</v>
      </c>
      <c r="U233" s="68">
        <v>0</v>
      </c>
      <c r="V233" s="68"/>
      <c r="W233" s="68">
        <v>0</v>
      </c>
      <c r="X233" s="68"/>
      <c r="Y233" s="68">
        <v>1768</v>
      </c>
      <c r="Z233" s="68"/>
      <c r="AA233" s="68"/>
      <c r="AB233" s="68">
        <v>1</v>
      </c>
      <c r="AC233" s="68">
        <v>1</v>
      </c>
      <c r="AD233" s="68"/>
      <c r="AE233" s="68"/>
      <c r="AF233" s="68">
        <v>1</v>
      </c>
      <c r="AG233" s="68"/>
      <c r="AH233" s="68"/>
      <c r="AI233" s="68"/>
      <c r="AJ233" s="68"/>
      <c r="AK233" s="68"/>
      <c r="AL233" s="68"/>
      <c r="AM233" s="68"/>
      <c r="AN233" s="68"/>
      <c r="AO233" s="68"/>
      <c r="AP233" s="68"/>
      <c r="AQ233" s="68"/>
      <c r="AR233" s="68"/>
      <c r="AS233" s="68"/>
      <c r="AT233" s="68"/>
      <c r="AU233" s="68"/>
      <c r="AV233" s="68"/>
      <c r="AW233" s="68"/>
      <c r="AX233" s="68"/>
      <c r="AY233" s="68"/>
      <c r="AZ233" s="68"/>
      <c r="BA233" s="57"/>
      <c r="BB233" s="57"/>
      <c r="BC233" s="57"/>
      <c r="BD233" s="57"/>
      <c r="BE233" s="57"/>
      <c r="BF233" s="57"/>
      <c r="BG233" s="57"/>
      <c r="BH233" s="57"/>
      <c r="BI233" s="57"/>
      <c r="BJ233" s="57"/>
      <c r="BK233" s="57"/>
      <c r="BL233" s="57"/>
      <c r="BM233" s="57"/>
      <c r="BN233" s="57"/>
      <c r="BO233" s="57"/>
      <c r="BP233" s="57"/>
      <c r="BQ233" s="57"/>
      <c r="BR233" s="57"/>
      <c r="BS233" s="57"/>
      <c r="BT233" s="57"/>
      <c r="BU233" s="57"/>
      <c r="BV233" s="57"/>
      <c r="BW233" s="57"/>
      <c r="BX233" s="57"/>
      <c r="BY233" s="57"/>
      <c r="BZ233" s="57"/>
      <c r="CA233" s="57"/>
      <c r="CB233" s="57"/>
      <c r="CC233" s="57"/>
      <c r="CD233" s="57"/>
      <c r="CE233" s="57"/>
      <c r="CF233" s="57"/>
      <c r="CG233" s="57"/>
    </row>
    <row r="234" s="58" customFormat="1" spans="1:85">
      <c r="A234" s="67" t="s">
        <v>838</v>
      </c>
      <c r="B234" s="68" t="s">
        <v>866</v>
      </c>
      <c r="C234" s="68">
        <v>10300</v>
      </c>
      <c r="D234" s="68"/>
      <c r="E234" s="68" t="s">
        <v>868</v>
      </c>
      <c r="F234" s="67" t="b">
        <f>IF(COUNTIF(按提示输入属性!D19,E234)&gt;0,TRUE,FALSE)</f>
        <v>0</v>
      </c>
      <c r="G234" s="67"/>
      <c r="H234" s="68"/>
      <c r="I234" s="68"/>
      <c r="J234" s="68"/>
      <c r="K234" s="68">
        <v>1199</v>
      </c>
      <c r="L234" s="67">
        <f>INT(K234*F341)</f>
        <v>1347</v>
      </c>
      <c r="M234" s="68">
        <v>5391</v>
      </c>
      <c r="N234" s="67">
        <f>INT(M234*F341)</f>
        <v>6059</v>
      </c>
      <c r="O234" s="68">
        <v>5179</v>
      </c>
      <c r="P234" s="67">
        <f>INT(O234*F341)</f>
        <v>5821</v>
      </c>
      <c r="Q234" s="68"/>
      <c r="R234" s="68"/>
      <c r="S234" s="68">
        <v>4845</v>
      </c>
      <c r="T234" s="67">
        <f>INT(S234*F341)</f>
        <v>5446</v>
      </c>
      <c r="U234" s="68"/>
      <c r="V234" s="68"/>
      <c r="W234" s="68"/>
      <c r="X234" s="68"/>
      <c r="Y234" s="68">
        <v>1671</v>
      </c>
      <c r="Z234" s="68"/>
      <c r="AA234" s="68"/>
      <c r="AB234" s="68">
        <v>1</v>
      </c>
      <c r="AC234" s="68">
        <v>1</v>
      </c>
      <c r="AD234" s="68"/>
      <c r="AE234" s="68"/>
      <c r="AF234" s="68">
        <v>1</v>
      </c>
      <c r="AG234" s="68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57"/>
      <c r="BB234" s="57"/>
      <c r="BC234" s="57"/>
      <c r="BD234" s="57"/>
      <c r="BE234" s="57"/>
      <c r="BF234" s="57"/>
      <c r="BG234" s="57"/>
      <c r="BH234" s="57"/>
      <c r="BI234" s="57"/>
      <c r="BJ234" s="57"/>
      <c r="BK234" s="57"/>
      <c r="BL234" s="57"/>
      <c r="BM234" s="57"/>
      <c r="BN234" s="57"/>
      <c r="BO234" s="57"/>
      <c r="BP234" s="57"/>
      <c r="BQ234" s="57"/>
      <c r="BR234" s="57"/>
      <c r="BS234" s="57"/>
      <c r="BT234" s="57"/>
      <c r="BU234" s="57"/>
      <c r="BV234" s="57"/>
      <c r="BW234" s="57"/>
      <c r="BX234" s="57"/>
      <c r="BY234" s="57"/>
      <c r="BZ234" s="57"/>
      <c r="CA234" s="57"/>
      <c r="CB234" s="57"/>
      <c r="CC234" s="57"/>
      <c r="CD234" s="57"/>
      <c r="CE234" s="57"/>
      <c r="CF234" s="57"/>
      <c r="CG234" s="57"/>
    </row>
    <row r="235" s="58" customFormat="1" spans="1:85">
      <c r="A235" s="67" t="s">
        <v>838</v>
      </c>
      <c r="B235" s="68" t="s">
        <v>866</v>
      </c>
      <c r="C235" s="68">
        <v>9700</v>
      </c>
      <c r="D235" s="68"/>
      <c r="E235" s="68" t="s">
        <v>869</v>
      </c>
      <c r="F235" s="67" t="b">
        <f>IF(COUNTIF(按提示输入属性!D19,E235)&gt;0,TRUE,FALSE)</f>
        <v>0</v>
      </c>
      <c r="G235" s="67"/>
      <c r="H235" s="68"/>
      <c r="I235" s="68"/>
      <c r="J235" s="68"/>
      <c r="K235" s="68">
        <v>1129</v>
      </c>
      <c r="L235" s="67">
        <f>INT(K235*F341)</f>
        <v>1269</v>
      </c>
      <c r="M235" s="68">
        <v>5077</v>
      </c>
      <c r="N235" s="67">
        <f>INT(M235*F341)</f>
        <v>5706</v>
      </c>
      <c r="O235" s="68">
        <v>4877</v>
      </c>
      <c r="P235" s="67">
        <f>INT(O235*F341)</f>
        <v>5482</v>
      </c>
      <c r="Q235" s="68"/>
      <c r="R235" s="68"/>
      <c r="S235" s="68">
        <v>4563</v>
      </c>
      <c r="T235" s="67">
        <f>INT(S235*F341)</f>
        <v>5129</v>
      </c>
      <c r="U235" s="68"/>
      <c r="V235" s="68"/>
      <c r="W235" s="68"/>
      <c r="X235" s="68"/>
      <c r="Y235" s="68">
        <v>1573</v>
      </c>
      <c r="Z235" s="68"/>
      <c r="AA235" s="68"/>
      <c r="AB235" s="68">
        <v>1</v>
      </c>
      <c r="AC235" s="68">
        <v>1</v>
      </c>
      <c r="AD235" s="68"/>
      <c r="AE235" s="68"/>
      <c r="AF235" s="68">
        <v>1</v>
      </c>
      <c r="AG235" s="68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  <c r="AR235" s="68"/>
      <c r="AS235" s="68"/>
      <c r="AT235" s="68"/>
      <c r="AU235" s="68"/>
      <c r="AV235" s="68"/>
      <c r="AW235" s="68"/>
      <c r="AX235" s="68"/>
      <c r="AY235" s="68"/>
      <c r="AZ235" s="68"/>
      <c r="BA235" s="57"/>
      <c r="BB235" s="57"/>
      <c r="BC235" s="57"/>
      <c r="BD235" s="57"/>
      <c r="BE235" s="57"/>
      <c r="BF235" s="57"/>
      <c r="BG235" s="57"/>
      <c r="BH235" s="57"/>
      <c r="BI235" s="57"/>
      <c r="BJ235" s="57"/>
      <c r="BK235" s="57"/>
      <c r="BL235" s="57"/>
      <c r="BM235" s="57"/>
      <c r="BN235" s="57"/>
      <c r="BO235" s="57"/>
      <c r="BP235" s="57"/>
      <c r="BQ235" s="57"/>
      <c r="BR235" s="57"/>
      <c r="BS235" s="57"/>
      <c r="BT235" s="57"/>
      <c r="BU235" s="57"/>
      <c r="BV235" s="57"/>
      <c r="BW235" s="57"/>
      <c r="BX235" s="57"/>
      <c r="BY235" s="57"/>
      <c r="BZ235" s="57"/>
      <c r="CA235" s="57"/>
      <c r="CB235" s="57"/>
      <c r="CC235" s="57"/>
      <c r="CD235" s="57"/>
      <c r="CE235" s="57"/>
      <c r="CF235" s="57"/>
      <c r="CG235" s="57"/>
    </row>
    <row r="236" s="58" customFormat="1" spans="1:85">
      <c r="A236" s="67" t="s">
        <v>838</v>
      </c>
      <c r="B236" s="68" t="s">
        <v>866</v>
      </c>
      <c r="C236" s="68">
        <v>9100</v>
      </c>
      <c r="D236" s="68"/>
      <c r="E236" s="68" t="s">
        <v>870</v>
      </c>
      <c r="F236" s="67" t="b">
        <f>IF(COUNTIF(按提示输入属性!D19,E236)&gt;0,TRUE,FALSE)</f>
        <v>0</v>
      </c>
      <c r="G236" s="67"/>
      <c r="H236" s="68"/>
      <c r="I236" s="68"/>
      <c r="J236" s="68"/>
      <c r="K236" s="68">
        <v>1059</v>
      </c>
      <c r="L236" s="67">
        <f>INT(K236*F341)</f>
        <v>1190</v>
      </c>
      <c r="M236" s="68">
        <v>4763</v>
      </c>
      <c r="N236" s="67">
        <f>INT(M236*F341)</f>
        <v>5353</v>
      </c>
      <c r="O236" s="68">
        <v>4576</v>
      </c>
      <c r="P236" s="67">
        <f>INT(O236*F341)</f>
        <v>5143</v>
      </c>
      <c r="Q236" s="68">
        <v>0</v>
      </c>
      <c r="R236" s="68"/>
      <c r="S236" s="68">
        <v>4281</v>
      </c>
      <c r="T236" s="67">
        <f>INT(S236*F341)</f>
        <v>4812</v>
      </c>
      <c r="U236" s="68">
        <v>0</v>
      </c>
      <c r="V236" s="68"/>
      <c r="W236" s="68">
        <v>0</v>
      </c>
      <c r="X236" s="68"/>
      <c r="Y236" s="68">
        <v>1476</v>
      </c>
      <c r="Z236" s="68"/>
      <c r="AA236" s="68"/>
      <c r="AB236" s="68">
        <v>1</v>
      </c>
      <c r="AC236" s="68">
        <v>1</v>
      </c>
      <c r="AD236" s="68"/>
      <c r="AE236" s="68"/>
      <c r="AF236" s="68">
        <v>1</v>
      </c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8"/>
      <c r="AV236" s="68"/>
      <c r="AW236" s="68"/>
      <c r="AX236" s="68"/>
      <c r="AY236" s="68"/>
      <c r="AZ236" s="68"/>
      <c r="BA236" s="57"/>
      <c r="BB236" s="57"/>
      <c r="BC236" s="57"/>
      <c r="BD236" s="57"/>
      <c r="BE236" s="57"/>
      <c r="BF236" s="57"/>
      <c r="BG236" s="57"/>
      <c r="BH236" s="57"/>
      <c r="BI236" s="57"/>
      <c r="BJ236" s="57"/>
      <c r="BK236" s="57"/>
      <c r="BL236" s="57"/>
      <c r="BM236" s="57"/>
      <c r="BN236" s="57"/>
      <c r="BO236" s="57"/>
      <c r="BP236" s="57"/>
      <c r="BQ236" s="57"/>
      <c r="BR236" s="57"/>
      <c r="BS236" s="57"/>
      <c r="BT236" s="57"/>
      <c r="BU236" s="57"/>
      <c r="BV236" s="57"/>
      <c r="BW236" s="57"/>
      <c r="BX236" s="57"/>
      <c r="BY236" s="57"/>
      <c r="BZ236" s="57"/>
      <c r="CA236" s="57"/>
      <c r="CB236" s="57"/>
      <c r="CC236" s="57"/>
      <c r="CD236" s="57"/>
      <c r="CE236" s="57"/>
      <c r="CF236" s="57"/>
      <c r="CG236" s="57"/>
    </row>
    <row r="237" s="58" customFormat="1" spans="1:85">
      <c r="A237" s="67" t="s">
        <v>838</v>
      </c>
      <c r="B237" s="68" t="s">
        <v>866</v>
      </c>
      <c r="C237" s="68">
        <v>8500</v>
      </c>
      <c r="D237" s="68"/>
      <c r="E237" s="68" t="s">
        <v>871</v>
      </c>
      <c r="F237" s="67" t="b">
        <f>IF(COUNTIF(按提示输入属性!D19,E237)&gt;0,TRUE,FALSE)</f>
        <v>0</v>
      </c>
      <c r="G237" s="67"/>
      <c r="H237" s="68"/>
      <c r="I237" s="68"/>
      <c r="J237" s="68"/>
      <c r="K237" s="68">
        <v>989</v>
      </c>
      <c r="L237" s="67">
        <f>INT(K237*F341)</f>
        <v>1111</v>
      </c>
      <c r="M237" s="68">
        <v>4449</v>
      </c>
      <c r="N237" s="67">
        <f>INT(M237*F341)</f>
        <v>5000</v>
      </c>
      <c r="O237" s="68">
        <v>4274</v>
      </c>
      <c r="P237" s="67">
        <f>INT(O237*F341)</f>
        <v>4804</v>
      </c>
      <c r="Q237" s="68">
        <v>0</v>
      </c>
      <c r="R237" s="68"/>
      <c r="S237" s="68">
        <v>3998</v>
      </c>
      <c r="T237" s="67">
        <f>INT(S237*F341)</f>
        <v>4494</v>
      </c>
      <c r="U237" s="68">
        <v>0</v>
      </c>
      <c r="V237" s="68"/>
      <c r="W237" s="68">
        <v>0</v>
      </c>
      <c r="X237" s="68"/>
      <c r="Y237" s="68">
        <v>1379</v>
      </c>
      <c r="Z237" s="68"/>
      <c r="AA237" s="68"/>
      <c r="AB237" s="68">
        <v>1</v>
      </c>
      <c r="AC237" s="68">
        <v>1</v>
      </c>
      <c r="AD237" s="68"/>
      <c r="AE237" s="68"/>
      <c r="AF237" s="68">
        <v>1</v>
      </c>
      <c r="AG237" s="68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  <c r="AR237" s="68"/>
      <c r="AS237" s="68"/>
      <c r="AT237" s="68"/>
      <c r="AU237" s="68"/>
      <c r="AV237" s="68"/>
      <c r="AW237" s="68"/>
      <c r="AX237" s="68"/>
      <c r="AY237" s="68"/>
      <c r="AZ237" s="68"/>
      <c r="BA237" s="57"/>
      <c r="BB237" s="57"/>
      <c r="BC237" s="57"/>
      <c r="BD237" s="57"/>
      <c r="BE237" s="57"/>
      <c r="BF237" s="57"/>
      <c r="BG237" s="57"/>
      <c r="BH237" s="57"/>
      <c r="BI237" s="57"/>
      <c r="BJ237" s="57"/>
      <c r="BK237" s="57"/>
      <c r="BL237" s="57"/>
      <c r="BM237" s="57"/>
      <c r="BN237" s="57"/>
      <c r="BO237" s="57"/>
      <c r="BP237" s="57"/>
      <c r="BQ237" s="57"/>
      <c r="BR237" s="57"/>
      <c r="BS237" s="57"/>
      <c r="BT237" s="57"/>
      <c r="BU237" s="57"/>
      <c r="BV237" s="57"/>
      <c r="BW237" s="57"/>
      <c r="BX237" s="57"/>
      <c r="BY237" s="57"/>
      <c r="BZ237" s="57"/>
      <c r="CA237" s="57"/>
      <c r="CB237" s="57"/>
      <c r="CC237" s="57"/>
      <c r="CD237" s="57"/>
      <c r="CE237" s="57"/>
      <c r="CF237" s="57"/>
      <c r="CG237" s="57"/>
    </row>
    <row r="238" customFormat="1" spans="1:85">
      <c r="A238" s="60"/>
      <c r="B238" s="60"/>
      <c r="C238" s="60"/>
      <c r="D238" s="60"/>
      <c r="E238" s="60"/>
      <c r="F238" s="61" t="s">
        <v>184</v>
      </c>
      <c r="G238" s="61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  <c r="AW238" s="60"/>
      <c r="AX238" s="60"/>
      <c r="AY238" s="60"/>
      <c r="AZ238" s="60"/>
      <c r="BA238" s="59"/>
      <c r="BB238" s="59"/>
      <c r="BC238" s="59"/>
      <c r="BD238" s="59"/>
      <c r="BE238" s="59"/>
      <c r="BF238" s="59"/>
      <c r="BG238" s="59"/>
      <c r="BH238" s="59"/>
      <c r="BI238" s="59"/>
      <c r="BJ238" s="59"/>
      <c r="BK238" s="59"/>
      <c r="BL238" s="59"/>
      <c r="BM238" s="59"/>
      <c r="BN238" s="59"/>
      <c r="BO238" s="59"/>
      <c r="BP238" s="59"/>
      <c r="BQ238" s="59"/>
      <c r="BR238" s="59"/>
      <c r="BS238" s="59"/>
      <c r="BT238" s="59"/>
      <c r="BU238" s="59"/>
      <c r="BV238" s="59"/>
      <c r="BW238" s="59"/>
      <c r="BX238" s="59"/>
      <c r="BY238" s="59"/>
      <c r="BZ238" s="59"/>
      <c r="CA238" s="59"/>
      <c r="CB238" s="59"/>
      <c r="CC238" s="59"/>
      <c r="CD238" s="59"/>
      <c r="CE238" s="59"/>
      <c r="CF238" s="59"/>
      <c r="CG238" s="59"/>
    </row>
    <row r="239" ht="13.5" spans="1:52">
      <c r="A239" s="60"/>
      <c r="B239" s="60"/>
      <c r="C239" s="60"/>
      <c r="D239" s="60"/>
      <c r="E239" s="60"/>
      <c r="F239" s="61"/>
      <c r="G239" s="61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60"/>
      <c r="AT239" s="60"/>
      <c r="AU239" s="60"/>
      <c r="AV239" s="60"/>
      <c r="AW239" s="60"/>
      <c r="AX239" s="60"/>
      <c r="AY239" s="60"/>
      <c r="AZ239" s="60"/>
    </row>
    <row r="240" ht="13.5" spans="1:52">
      <c r="A240" s="60" t="s">
        <v>58</v>
      </c>
      <c r="B240" s="60"/>
      <c r="C240" s="60"/>
      <c r="D240" s="60"/>
      <c r="E240" s="60" t="s">
        <v>59</v>
      </c>
      <c r="F240" s="61" t="b">
        <f>IF(COUNTIF(按提示输入属性!D20,E240)&gt;0,TRUE,FALSE)</f>
        <v>1</v>
      </c>
      <c r="G240" s="61"/>
      <c r="H240" s="60"/>
      <c r="I240" s="60"/>
      <c r="J240" s="60"/>
      <c r="K240" s="60"/>
      <c r="L240" s="69"/>
      <c r="M240" s="69"/>
      <c r="N240" s="69"/>
      <c r="O240" s="69"/>
      <c r="P240" s="69"/>
      <c r="Q240" s="69"/>
      <c r="R240" s="69">
        <v>2340</v>
      </c>
      <c r="S240" s="69"/>
      <c r="T240" s="69">
        <v>1170</v>
      </c>
      <c r="U240" s="69"/>
      <c r="V240" s="69">
        <v>585</v>
      </c>
      <c r="W240" s="69"/>
      <c r="X240" s="69"/>
      <c r="Y240" s="69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  <c r="AU240" s="60"/>
      <c r="AV240" s="60"/>
      <c r="AW240" s="60"/>
      <c r="AX240" s="60"/>
      <c r="AY240" s="60"/>
      <c r="AZ240" s="60"/>
    </row>
    <row r="241" ht="13.5" spans="1:52">
      <c r="A241" s="60"/>
      <c r="B241" s="60"/>
      <c r="C241" s="60"/>
      <c r="D241" s="60"/>
      <c r="E241" s="60" t="s">
        <v>872</v>
      </c>
      <c r="F241" s="61" t="b">
        <f>IF(COUNTIF(按提示输入属性!D20,E241)&gt;0,TRUE,FALSE)</f>
        <v>0</v>
      </c>
      <c r="G241" s="61"/>
      <c r="H241" s="60"/>
      <c r="I241" s="60"/>
      <c r="J241" s="60"/>
      <c r="K241" s="60"/>
      <c r="L241" s="69"/>
      <c r="M241" s="69"/>
      <c r="N241" s="69"/>
      <c r="O241" s="69"/>
      <c r="P241" s="69">
        <v>585</v>
      </c>
      <c r="Q241" s="69"/>
      <c r="R241" s="69">
        <v>2340</v>
      </c>
      <c r="S241" s="69"/>
      <c r="T241" s="69">
        <v>1170</v>
      </c>
      <c r="U241" s="69"/>
      <c r="V241" s="69"/>
      <c r="W241" s="69"/>
      <c r="X241" s="69"/>
      <c r="Y241" s="69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  <c r="AU241" s="60"/>
      <c r="AV241" s="60"/>
      <c r="AW241" s="60"/>
      <c r="AX241" s="60"/>
      <c r="AY241" s="60"/>
      <c r="AZ241" s="60"/>
    </row>
    <row r="242" ht="13.5" spans="1:52">
      <c r="A242" s="60"/>
      <c r="B242" s="60"/>
      <c r="C242" s="60"/>
      <c r="D242" s="60"/>
      <c r="E242" s="60" t="s">
        <v>873</v>
      </c>
      <c r="F242" s="61" t="b">
        <f>IF(COUNTIF(按提示输入属性!D20,E242)&gt;0,TRUE,FALSE)</f>
        <v>0</v>
      </c>
      <c r="G242" s="61"/>
      <c r="H242" s="60"/>
      <c r="I242" s="60"/>
      <c r="J242" s="60"/>
      <c r="K242" s="60"/>
      <c r="L242" s="69">
        <v>131</v>
      </c>
      <c r="M242" s="69"/>
      <c r="N242" s="69"/>
      <c r="O242" s="69"/>
      <c r="P242" s="69"/>
      <c r="Q242" s="69"/>
      <c r="R242" s="69">
        <v>2340</v>
      </c>
      <c r="S242" s="69"/>
      <c r="T242" s="69">
        <v>1170</v>
      </c>
      <c r="U242" s="69"/>
      <c r="V242" s="69"/>
      <c r="W242" s="69"/>
      <c r="X242" s="69"/>
      <c r="Y242" s="69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  <c r="AV242" s="60"/>
      <c r="AW242" s="60"/>
      <c r="AX242" s="60"/>
      <c r="AY242" s="60"/>
      <c r="AZ242" s="60"/>
    </row>
    <row r="243" ht="13.5" spans="1:52">
      <c r="A243" s="60"/>
      <c r="B243" s="60"/>
      <c r="C243" s="60"/>
      <c r="D243" s="60"/>
      <c r="E243" s="60" t="s">
        <v>874</v>
      </c>
      <c r="F243" s="61" t="b">
        <f>IF(COUNTIF(按提示输入属性!D20,E243)&gt;0,TRUE,FALSE)</f>
        <v>0</v>
      </c>
      <c r="G243" s="61"/>
      <c r="H243" s="60"/>
      <c r="I243" s="60"/>
      <c r="J243" s="60"/>
      <c r="K243" s="60"/>
      <c r="L243" s="69"/>
      <c r="M243" s="69"/>
      <c r="N243" s="69"/>
      <c r="O243" s="69"/>
      <c r="P243" s="69"/>
      <c r="Q243" s="69"/>
      <c r="R243" s="69">
        <v>2340</v>
      </c>
      <c r="S243" s="69"/>
      <c r="T243" s="69">
        <v>1170</v>
      </c>
      <c r="U243" s="69"/>
      <c r="V243" s="69"/>
      <c r="W243" s="69"/>
      <c r="X243" s="69">
        <v>585</v>
      </c>
      <c r="Y243" s="69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  <c r="AV243" s="60"/>
      <c r="AW243" s="60"/>
      <c r="AX243" s="60"/>
      <c r="AY243" s="60"/>
      <c r="AZ243" s="60"/>
    </row>
    <row r="244" ht="13.5" spans="1:52">
      <c r="A244" s="60"/>
      <c r="B244" s="60"/>
      <c r="C244" s="60"/>
      <c r="D244" s="60"/>
      <c r="E244" s="60" t="s">
        <v>875</v>
      </c>
      <c r="F244" s="61" t="b">
        <f>IF(COUNTIF(按提示输入属性!D20,E244)&gt;0,TRUE,FALSE)</f>
        <v>0</v>
      </c>
      <c r="G244" s="61"/>
      <c r="H244" s="60"/>
      <c r="I244" s="60"/>
      <c r="J244" s="60"/>
      <c r="K244" s="60"/>
      <c r="L244" s="69"/>
      <c r="M244" s="69"/>
      <c r="N244" s="69">
        <v>629</v>
      </c>
      <c r="O244" s="69"/>
      <c r="P244" s="69"/>
      <c r="Q244" s="69"/>
      <c r="R244" s="69">
        <v>2340</v>
      </c>
      <c r="S244" s="69"/>
      <c r="T244" s="69"/>
      <c r="U244" s="69"/>
      <c r="V244" s="69">
        <v>585</v>
      </c>
      <c r="W244" s="69"/>
      <c r="X244" s="69"/>
      <c r="Y244" s="69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60"/>
      <c r="AV244" s="60"/>
      <c r="AW244" s="60"/>
      <c r="AX244" s="60"/>
      <c r="AY244" s="60"/>
      <c r="AZ244" s="60"/>
    </row>
    <row r="245" ht="13.5" spans="1:52">
      <c r="A245" s="60"/>
      <c r="B245" s="60"/>
      <c r="C245" s="60"/>
      <c r="D245" s="60"/>
      <c r="E245" s="60" t="s">
        <v>876</v>
      </c>
      <c r="F245" s="61" t="b">
        <f>IF(COUNTIF(按提示输入属性!D20,E245)&gt;0,TRUE,FALSE)</f>
        <v>0</v>
      </c>
      <c r="G245" s="61"/>
      <c r="H245" s="60"/>
      <c r="I245" s="60"/>
      <c r="J245" s="60"/>
      <c r="K245" s="60"/>
      <c r="L245" s="69"/>
      <c r="M245" s="69"/>
      <c r="N245" s="69">
        <v>629</v>
      </c>
      <c r="O245" s="69"/>
      <c r="P245" s="69">
        <v>585</v>
      </c>
      <c r="Q245" s="69"/>
      <c r="R245" s="69">
        <v>2340</v>
      </c>
      <c r="S245" s="69"/>
      <c r="T245" s="69"/>
      <c r="U245" s="69"/>
      <c r="V245" s="69"/>
      <c r="W245" s="69"/>
      <c r="X245" s="69"/>
      <c r="Y245" s="69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  <c r="AU245" s="60"/>
      <c r="AV245" s="60"/>
      <c r="AW245" s="60"/>
      <c r="AX245" s="60"/>
      <c r="AY245" s="60"/>
      <c r="AZ245" s="60"/>
    </row>
    <row r="246" ht="13.5" spans="1:52">
      <c r="A246" s="60"/>
      <c r="B246" s="60"/>
      <c r="C246" s="60"/>
      <c r="D246" s="60"/>
      <c r="E246" s="60" t="s">
        <v>877</v>
      </c>
      <c r="F246" s="61" t="b">
        <f>IF(COUNTIF(按提示输入属性!D20,E246)&gt;0,TRUE,FALSE)</f>
        <v>0</v>
      </c>
      <c r="G246" s="61"/>
      <c r="H246" s="60"/>
      <c r="I246" s="60"/>
      <c r="J246" s="60"/>
      <c r="K246" s="60"/>
      <c r="L246" s="69">
        <v>131</v>
      </c>
      <c r="M246" s="69"/>
      <c r="N246" s="69">
        <v>629</v>
      </c>
      <c r="O246" s="69"/>
      <c r="P246" s="69"/>
      <c r="Q246" s="69"/>
      <c r="R246" s="69">
        <v>2340</v>
      </c>
      <c r="S246" s="69"/>
      <c r="T246" s="69"/>
      <c r="U246" s="69"/>
      <c r="V246" s="69"/>
      <c r="W246" s="69"/>
      <c r="X246" s="69"/>
      <c r="Y246" s="69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  <c r="AU246" s="60"/>
      <c r="AV246" s="60"/>
      <c r="AW246" s="60"/>
      <c r="AX246" s="60"/>
      <c r="AY246" s="60"/>
      <c r="AZ246" s="60"/>
    </row>
    <row r="247" ht="13.5" spans="1:52">
      <c r="A247" s="60"/>
      <c r="B247" s="60"/>
      <c r="C247" s="60"/>
      <c r="D247" s="60"/>
      <c r="E247" s="60" t="s">
        <v>878</v>
      </c>
      <c r="F247" s="61" t="b">
        <f>IF(COUNTIF(按提示输入属性!D20,E247)&gt;0,TRUE,FALSE)</f>
        <v>0</v>
      </c>
      <c r="G247" s="61"/>
      <c r="H247" s="60"/>
      <c r="I247" s="60"/>
      <c r="J247" s="60"/>
      <c r="K247" s="60"/>
      <c r="L247" s="69"/>
      <c r="M247" s="69"/>
      <c r="N247" s="69">
        <v>629</v>
      </c>
      <c r="O247" s="69"/>
      <c r="P247" s="69"/>
      <c r="Q247" s="69"/>
      <c r="R247" s="69">
        <v>2340</v>
      </c>
      <c r="S247" s="69"/>
      <c r="T247" s="69"/>
      <c r="U247" s="69"/>
      <c r="V247" s="69"/>
      <c r="W247" s="69"/>
      <c r="X247" s="69">
        <v>585</v>
      </c>
      <c r="Y247" s="69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60"/>
      <c r="AV247" s="60"/>
      <c r="AW247" s="60"/>
      <c r="AX247" s="60"/>
      <c r="AY247" s="60"/>
      <c r="AZ247" s="60"/>
    </row>
    <row r="248" ht="13.5" spans="1:52">
      <c r="A248" s="60"/>
      <c r="B248" s="60"/>
      <c r="C248" s="60"/>
      <c r="D248" s="60"/>
      <c r="E248" s="60" t="s">
        <v>879</v>
      </c>
      <c r="F248" s="61" t="b">
        <f>IF(COUNTIF(按提示输入属性!D20,E248)&gt;0,TRUE,FALSE)</f>
        <v>0</v>
      </c>
      <c r="G248" s="61"/>
      <c r="H248" s="60"/>
      <c r="I248" s="60"/>
      <c r="J248" s="60"/>
      <c r="K248" s="60"/>
      <c r="L248" s="69"/>
      <c r="M248" s="69"/>
      <c r="N248" s="69"/>
      <c r="O248" s="69"/>
      <c r="P248" s="69"/>
      <c r="Q248" s="69"/>
      <c r="R248" s="69">
        <v>1950</v>
      </c>
      <c r="S248" s="69"/>
      <c r="T248" s="69">
        <v>975</v>
      </c>
      <c r="U248" s="69"/>
      <c r="V248" s="69">
        <v>488</v>
      </c>
      <c r="W248" s="69"/>
      <c r="X248" s="69"/>
      <c r="Y248" s="69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60"/>
      <c r="AU248" s="60"/>
      <c r="AV248" s="60"/>
      <c r="AW248" s="60"/>
      <c r="AX248" s="60"/>
      <c r="AY248" s="60"/>
      <c r="AZ248" s="60"/>
    </row>
    <row r="249" ht="13.5" spans="1:52">
      <c r="A249" s="60"/>
      <c r="B249" s="60"/>
      <c r="C249" s="60"/>
      <c r="D249" s="60"/>
      <c r="E249" s="60" t="s">
        <v>880</v>
      </c>
      <c r="F249" s="61" t="b">
        <f>IF(COUNTIF(按提示输入属性!D20,E249)&gt;0,TRUE,FALSE)</f>
        <v>0</v>
      </c>
      <c r="G249" s="61"/>
      <c r="H249" s="60"/>
      <c r="I249" s="60"/>
      <c r="J249" s="60"/>
      <c r="K249" s="60"/>
      <c r="L249" s="69"/>
      <c r="M249" s="69"/>
      <c r="N249" s="69"/>
      <c r="O249" s="69"/>
      <c r="P249" s="69">
        <v>488</v>
      </c>
      <c r="Q249" s="69"/>
      <c r="R249" s="69">
        <v>1950</v>
      </c>
      <c r="S249" s="69"/>
      <c r="T249" s="69">
        <v>975</v>
      </c>
      <c r="U249" s="69"/>
      <c r="V249" s="69"/>
      <c r="W249" s="69"/>
      <c r="X249" s="69"/>
      <c r="Y249" s="69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60"/>
      <c r="AV249" s="60"/>
      <c r="AW249" s="60"/>
      <c r="AX249" s="60"/>
      <c r="AY249" s="60"/>
      <c r="AZ249" s="60"/>
    </row>
    <row r="250" ht="13.5" spans="1:52">
      <c r="A250" s="60"/>
      <c r="B250" s="60"/>
      <c r="C250" s="60"/>
      <c r="D250" s="60"/>
      <c r="E250" s="60" t="s">
        <v>881</v>
      </c>
      <c r="F250" s="61" t="b">
        <f>IF(COUNTIF(按提示输入属性!D20,E250)&gt;0,TRUE,FALSE)</f>
        <v>0</v>
      </c>
      <c r="G250" s="61"/>
      <c r="H250" s="60"/>
      <c r="I250" s="60"/>
      <c r="J250" s="60"/>
      <c r="K250" s="60"/>
      <c r="L250" s="69">
        <v>109</v>
      </c>
      <c r="M250" s="69"/>
      <c r="N250" s="69"/>
      <c r="O250" s="69"/>
      <c r="P250" s="69"/>
      <c r="Q250" s="69"/>
      <c r="R250" s="69">
        <v>1950</v>
      </c>
      <c r="S250" s="69"/>
      <c r="T250" s="69">
        <v>975</v>
      </c>
      <c r="U250" s="69"/>
      <c r="V250" s="69"/>
      <c r="W250" s="69"/>
      <c r="X250" s="69"/>
      <c r="Y250" s="69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  <c r="AW250" s="60"/>
      <c r="AX250" s="60"/>
      <c r="AY250" s="60"/>
      <c r="AZ250" s="60"/>
    </row>
    <row r="251" ht="13.5" spans="1:52">
      <c r="A251" s="60"/>
      <c r="B251" s="60"/>
      <c r="C251" s="60"/>
      <c r="D251" s="60"/>
      <c r="E251" s="60" t="s">
        <v>882</v>
      </c>
      <c r="F251" s="61" t="b">
        <f>IF(COUNTIF(按提示输入属性!D20,E251)&gt;0,TRUE,FALSE)</f>
        <v>0</v>
      </c>
      <c r="G251" s="61"/>
      <c r="H251" s="60"/>
      <c r="I251" s="60"/>
      <c r="J251" s="60"/>
      <c r="K251" s="60"/>
      <c r="L251" s="69"/>
      <c r="M251" s="69"/>
      <c r="N251" s="69"/>
      <c r="O251" s="69"/>
      <c r="P251" s="69"/>
      <c r="Q251" s="69"/>
      <c r="R251" s="69">
        <v>1950</v>
      </c>
      <c r="S251" s="69"/>
      <c r="T251" s="69">
        <v>975</v>
      </c>
      <c r="U251" s="69"/>
      <c r="V251" s="69"/>
      <c r="W251" s="69"/>
      <c r="X251" s="69">
        <v>488</v>
      </c>
      <c r="Y251" s="69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60"/>
      <c r="AU251" s="60"/>
      <c r="AV251" s="60"/>
      <c r="AW251" s="60"/>
      <c r="AX251" s="60"/>
      <c r="AY251" s="60"/>
      <c r="AZ251" s="60"/>
    </row>
    <row r="252" ht="13.5" spans="1:52">
      <c r="A252" s="60"/>
      <c r="B252" s="60"/>
      <c r="C252" s="60"/>
      <c r="D252" s="60"/>
      <c r="E252" s="60" t="s">
        <v>883</v>
      </c>
      <c r="F252" s="61" t="b">
        <f>IF(COUNTIF(按提示输入属性!D20,E252)&gt;0,TRUE,FALSE)</f>
        <v>0</v>
      </c>
      <c r="G252" s="61"/>
      <c r="H252" s="60"/>
      <c r="I252" s="60"/>
      <c r="J252" s="60"/>
      <c r="K252" s="60"/>
      <c r="L252" s="69"/>
      <c r="M252" s="69"/>
      <c r="N252" s="69">
        <v>524</v>
      </c>
      <c r="O252" s="69"/>
      <c r="P252" s="69"/>
      <c r="Q252" s="69"/>
      <c r="R252" s="69">
        <v>1950</v>
      </c>
      <c r="S252" s="69"/>
      <c r="T252" s="69"/>
      <c r="U252" s="69"/>
      <c r="V252" s="69">
        <v>488</v>
      </c>
      <c r="W252" s="69"/>
      <c r="X252" s="69"/>
      <c r="Y252" s="69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  <c r="AU252" s="60"/>
      <c r="AV252" s="60"/>
      <c r="AW252" s="60"/>
      <c r="AX252" s="60"/>
      <c r="AY252" s="60"/>
      <c r="AZ252" s="60"/>
    </row>
    <row r="253" ht="13.5" spans="1:52">
      <c r="A253" s="60"/>
      <c r="B253" s="60"/>
      <c r="C253" s="60"/>
      <c r="D253" s="60"/>
      <c r="E253" s="60" t="s">
        <v>884</v>
      </c>
      <c r="F253" s="61" t="b">
        <f>IF(COUNTIF(按提示输入属性!D20,E253)&gt;0,TRUE,FALSE)</f>
        <v>0</v>
      </c>
      <c r="G253" s="61"/>
      <c r="H253" s="60"/>
      <c r="I253" s="60"/>
      <c r="J253" s="60"/>
      <c r="K253" s="60"/>
      <c r="L253" s="69"/>
      <c r="M253" s="69"/>
      <c r="N253" s="69">
        <v>524</v>
      </c>
      <c r="O253" s="69"/>
      <c r="P253" s="69">
        <v>488</v>
      </c>
      <c r="Q253" s="69"/>
      <c r="R253" s="69">
        <v>1950</v>
      </c>
      <c r="S253" s="69"/>
      <c r="T253" s="69"/>
      <c r="U253" s="69"/>
      <c r="V253" s="69"/>
      <c r="W253" s="69"/>
      <c r="X253" s="69"/>
      <c r="Y253" s="69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  <c r="AU253" s="60"/>
      <c r="AV253" s="60"/>
      <c r="AW253" s="60"/>
      <c r="AX253" s="60"/>
      <c r="AY253" s="60"/>
      <c r="AZ253" s="60"/>
    </row>
    <row r="254" ht="13.5" spans="1:52">
      <c r="A254" s="60"/>
      <c r="B254" s="60"/>
      <c r="C254" s="60"/>
      <c r="D254" s="60"/>
      <c r="E254" s="60" t="s">
        <v>885</v>
      </c>
      <c r="F254" s="61" t="b">
        <f>IF(COUNTIF(按提示输入属性!D20,E254)&gt;0,TRUE,FALSE)</f>
        <v>0</v>
      </c>
      <c r="G254" s="61"/>
      <c r="H254" s="60"/>
      <c r="I254" s="60"/>
      <c r="J254" s="60"/>
      <c r="K254" s="60"/>
      <c r="L254" s="69">
        <v>109</v>
      </c>
      <c r="M254" s="69"/>
      <c r="N254" s="69">
        <v>524</v>
      </c>
      <c r="O254" s="69"/>
      <c r="P254" s="69"/>
      <c r="Q254" s="69"/>
      <c r="R254" s="69">
        <v>1950</v>
      </c>
      <c r="S254" s="69"/>
      <c r="T254" s="69"/>
      <c r="U254" s="69"/>
      <c r="V254" s="69"/>
      <c r="W254" s="69"/>
      <c r="X254" s="69"/>
      <c r="Y254" s="69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60"/>
      <c r="AV254" s="60"/>
      <c r="AW254" s="60"/>
      <c r="AX254" s="60"/>
      <c r="AY254" s="60"/>
      <c r="AZ254" s="60"/>
    </row>
    <row r="255" ht="13.5" spans="1:52">
      <c r="A255" s="60"/>
      <c r="B255" s="60"/>
      <c r="C255" s="60"/>
      <c r="D255" s="60"/>
      <c r="E255" s="60" t="s">
        <v>886</v>
      </c>
      <c r="F255" s="61" t="b">
        <f>IF(COUNTIF(按提示输入属性!D20,E255)&gt;0,TRUE,FALSE)</f>
        <v>0</v>
      </c>
      <c r="G255" s="61"/>
      <c r="H255" s="60"/>
      <c r="I255" s="60"/>
      <c r="J255" s="60"/>
      <c r="K255" s="60"/>
      <c r="L255" s="69"/>
      <c r="M255" s="69"/>
      <c r="N255" s="69">
        <v>524</v>
      </c>
      <c r="O255" s="69"/>
      <c r="P255" s="69"/>
      <c r="Q255" s="69"/>
      <c r="R255" s="69">
        <v>1950</v>
      </c>
      <c r="S255" s="69"/>
      <c r="T255" s="69"/>
      <c r="U255" s="69"/>
      <c r="V255" s="69"/>
      <c r="W255" s="69"/>
      <c r="X255" s="69">
        <v>488</v>
      </c>
      <c r="Y255" s="69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  <c r="AU255" s="60"/>
      <c r="AV255" s="60"/>
      <c r="AW255" s="60"/>
      <c r="AX255" s="60"/>
      <c r="AY255" s="60"/>
      <c r="AZ255" s="60"/>
    </row>
    <row r="256" ht="13.5" spans="1:52">
      <c r="A256" s="60"/>
      <c r="B256" s="60"/>
      <c r="C256" s="60"/>
      <c r="D256" s="60"/>
      <c r="E256" s="60"/>
      <c r="F256" s="61"/>
      <c r="G256" s="61"/>
      <c r="H256" s="60"/>
      <c r="I256" s="60"/>
      <c r="J256" s="60"/>
      <c r="K256" s="60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  <c r="AW256" s="60"/>
      <c r="AX256" s="60"/>
      <c r="AY256" s="60"/>
      <c r="AZ256" s="60"/>
    </row>
    <row r="257" ht="13.5" spans="1:52">
      <c r="A257" s="60"/>
      <c r="B257" s="60"/>
      <c r="C257" s="60"/>
      <c r="D257" s="60"/>
      <c r="E257" s="60"/>
      <c r="F257" s="61"/>
      <c r="G257" s="61"/>
      <c r="H257" s="60"/>
      <c r="I257" s="60"/>
      <c r="J257" s="60"/>
      <c r="K257" s="60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60"/>
      <c r="AU257" s="60"/>
      <c r="AV257" s="60"/>
      <c r="AW257" s="60"/>
      <c r="AX257" s="60"/>
      <c r="AY257" s="60"/>
      <c r="AZ257" s="60"/>
    </row>
    <row r="258" ht="13.5" spans="1:52">
      <c r="A258" s="60"/>
      <c r="B258" s="60"/>
      <c r="C258" s="60"/>
      <c r="D258" s="60"/>
      <c r="E258" s="60"/>
      <c r="F258" s="61"/>
      <c r="G258" s="61"/>
      <c r="H258" s="60"/>
      <c r="I258" s="60"/>
      <c r="J258" s="60"/>
      <c r="K258" s="60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60"/>
      <c r="AV258" s="60"/>
      <c r="AW258" s="60"/>
      <c r="AX258" s="60"/>
      <c r="AY258" s="60"/>
      <c r="AZ258" s="60"/>
    </row>
    <row r="259" ht="13.5" spans="1:52">
      <c r="A259" s="60"/>
      <c r="B259" s="60"/>
      <c r="C259" s="60"/>
      <c r="D259" s="60"/>
      <c r="E259" s="60"/>
      <c r="F259" s="61"/>
      <c r="G259" s="61"/>
      <c r="H259" s="60"/>
      <c r="I259" s="60"/>
      <c r="J259" s="60"/>
      <c r="K259" s="60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60"/>
      <c r="AT259" s="60"/>
      <c r="AU259" s="60"/>
      <c r="AV259" s="60"/>
      <c r="AW259" s="60"/>
      <c r="AX259" s="60"/>
      <c r="AY259" s="60"/>
      <c r="AZ259" s="60"/>
    </row>
    <row r="260" ht="13.5" spans="1:52">
      <c r="A260" s="60"/>
      <c r="B260" s="60"/>
      <c r="C260" s="60"/>
      <c r="D260" s="60"/>
      <c r="E260" s="60"/>
      <c r="F260" s="61"/>
      <c r="G260" s="61"/>
      <c r="H260" s="60"/>
      <c r="I260" s="60"/>
      <c r="J260" s="60"/>
      <c r="K260" s="60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60"/>
      <c r="AU260" s="60"/>
      <c r="AV260" s="60"/>
      <c r="AW260" s="60"/>
      <c r="AX260" s="60"/>
      <c r="AY260" s="60"/>
      <c r="AZ260" s="60"/>
    </row>
    <row r="261" ht="13.5" spans="1:52">
      <c r="A261" s="60"/>
      <c r="B261" s="60"/>
      <c r="C261" s="60"/>
      <c r="D261" s="60"/>
      <c r="E261" s="60"/>
      <c r="F261" s="61"/>
      <c r="G261" s="61"/>
      <c r="H261" s="60"/>
      <c r="I261" s="60"/>
      <c r="J261" s="60"/>
      <c r="K261" s="60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60"/>
      <c r="AT261" s="60"/>
      <c r="AU261" s="60"/>
      <c r="AV261" s="60"/>
      <c r="AW261" s="60"/>
      <c r="AX261" s="60"/>
      <c r="AY261" s="60"/>
      <c r="AZ261" s="60"/>
    </row>
    <row r="262" ht="13.5" spans="1:52">
      <c r="A262" s="60"/>
      <c r="B262" s="60"/>
      <c r="C262" s="60"/>
      <c r="D262" s="60"/>
      <c r="E262" s="60"/>
      <c r="F262" s="61"/>
      <c r="G262" s="61"/>
      <c r="H262" s="60"/>
      <c r="I262" s="60"/>
      <c r="J262" s="60"/>
      <c r="K262" s="60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  <c r="AU262" s="60"/>
      <c r="AV262" s="60"/>
      <c r="AW262" s="60"/>
      <c r="AX262" s="60"/>
      <c r="AY262" s="60"/>
      <c r="AZ262" s="60"/>
    </row>
    <row r="263" ht="13.5" spans="1:52">
      <c r="A263" s="60"/>
      <c r="B263" s="60"/>
      <c r="C263" s="60"/>
      <c r="D263" s="60"/>
      <c r="E263" s="60"/>
      <c r="F263" s="61"/>
      <c r="G263" s="61"/>
      <c r="H263" s="60"/>
      <c r="I263" s="60"/>
      <c r="J263" s="60"/>
      <c r="K263" s="60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  <c r="AU263" s="60"/>
      <c r="AV263" s="60"/>
      <c r="AW263" s="60"/>
      <c r="AX263" s="60"/>
      <c r="AY263" s="60"/>
      <c r="AZ263" s="60"/>
    </row>
    <row r="264" ht="13.5" spans="1:52">
      <c r="A264" s="60"/>
      <c r="B264" s="60"/>
      <c r="C264" s="60"/>
      <c r="D264" s="60"/>
      <c r="E264" s="60"/>
      <c r="F264" s="61"/>
      <c r="G264" s="61"/>
      <c r="H264" s="60"/>
      <c r="I264" s="60"/>
      <c r="J264" s="60"/>
      <c r="K264" s="60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  <c r="AV264" s="60"/>
      <c r="AW264" s="60"/>
      <c r="AX264" s="60"/>
      <c r="AY264" s="60"/>
      <c r="AZ264" s="60"/>
    </row>
    <row r="265" ht="13.5" spans="1:52">
      <c r="A265" s="60"/>
      <c r="B265" s="60"/>
      <c r="C265" s="60"/>
      <c r="D265" s="60"/>
      <c r="E265" s="60"/>
      <c r="F265" s="61"/>
      <c r="G265" s="61"/>
      <c r="H265" s="60"/>
      <c r="I265" s="60"/>
      <c r="J265" s="60"/>
      <c r="K265" s="60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60"/>
      <c r="AV265" s="60"/>
      <c r="AW265" s="60"/>
      <c r="AX265" s="60"/>
      <c r="AY265" s="60"/>
      <c r="AZ265" s="60"/>
    </row>
    <row r="266" ht="13.5" spans="1:52">
      <c r="A266" s="60"/>
      <c r="B266" s="60"/>
      <c r="C266" s="60"/>
      <c r="D266" s="60"/>
      <c r="E266" s="60"/>
      <c r="F266" s="61"/>
      <c r="G266" s="61"/>
      <c r="H266" s="60"/>
      <c r="I266" s="60"/>
      <c r="J266" s="60"/>
      <c r="K266" s="60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60"/>
      <c r="AU266" s="60"/>
      <c r="AV266" s="60"/>
      <c r="AW266" s="60"/>
      <c r="AX266" s="60"/>
      <c r="AY266" s="60"/>
      <c r="AZ266" s="60"/>
    </row>
    <row r="267" ht="13.5" spans="1:52">
      <c r="A267" s="60"/>
      <c r="B267" s="60"/>
      <c r="C267" s="60"/>
      <c r="D267" s="60"/>
      <c r="E267" s="60"/>
      <c r="F267" s="61"/>
      <c r="G267" s="61"/>
      <c r="H267" s="60"/>
      <c r="I267" s="60"/>
      <c r="J267" s="60"/>
      <c r="K267" s="60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60"/>
      <c r="AV267" s="60"/>
      <c r="AW267" s="60"/>
      <c r="AX267" s="60"/>
      <c r="AY267" s="60"/>
      <c r="AZ267" s="60"/>
    </row>
    <row r="268" ht="13.5" spans="1:52">
      <c r="A268" s="60"/>
      <c r="B268" s="60"/>
      <c r="C268" s="60"/>
      <c r="D268" s="60"/>
      <c r="E268" s="60"/>
      <c r="F268" s="61"/>
      <c r="G268" s="61"/>
      <c r="H268" s="60"/>
      <c r="I268" s="60"/>
      <c r="J268" s="60"/>
      <c r="K268" s="60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  <c r="AV268" s="60"/>
      <c r="AW268" s="60"/>
      <c r="AX268" s="60"/>
      <c r="AY268" s="60"/>
      <c r="AZ268" s="60"/>
    </row>
    <row r="269" ht="13.5" spans="1:52">
      <c r="A269" s="60"/>
      <c r="B269" s="60"/>
      <c r="C269" s="60"/>
      <c r="D269" s="60"/>
      <c r="E269" s="60"/>
      <c r="F269" s="61"/>
      <c r="G269" s="61"/>
      <c r="H269" s="60"/>
      <c r="I269" s="60"/>
      <c r="J269" s="60"/>
      <c r="K269" s="60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  <c r="AV269" s="60"/>
      <c r="AW269" s="60"/>
      <c r="AX269" s="60"/>
      <c r="AY269" s="60"/>
      <c r="AZ269" s="60"/>
    </row>
    <row r="270" ht="13.5" spans="1:52">
      <c r="A270" s="60"/>
      <c r="B270" s="60"/>
      <c r="C270" s="60"/>
      <c r="D270" s="60"/>
      <c r="E270" s="60"/>
      <c r="F270" s="61"/>
      <c r="G270" s="61"/>
      <c r="H270" s="60"/>
      <c r="I270" s="60"/>
      <c r="J270" s="60"/>
      <c r="K270" s="60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  <c r="AW270" s="60"/>
      <c r="AX270" s="60"/>
      <c r="AY270" s="60"/>
      <c r="AZ270" s="60"/>
    </row>
    <row r="271" ht="13.5" spans="1:52">
      <c r="A271" s="60"/>
      <c r="B271" s="60"/>
      <c r="C271" s="60"/>
      <c r="D271" s="60"/>
      <c r="E271" s="60"/>
      <c r="F271" s="61"/>
      <c r="G271" s="61"/>
      <c r="H271" s="60"/>
      <c r="I271" s="60"/>
      <c r="J271" s="60"/>
      <c r="K271" s="60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  <c r="AW271" s="60"/>
      <c r="AX271" s="60"/>
      <c r="AY271" s="60"/>
      <c r="AZ271" s="60"/>
    </row>
    <row r="272" ht="13.5" spans="1:52">
      <c r="A272" s="60"/>
      <c r="B272" s="60"/>
      <c r="C272" s="60"/>
      <c r="D272" s="60"/>
      <c r="E272" s="60"/>
      <c r="F272" s="61"/>
      <c r="G272" s="61"/>
      <c r="H272" s="60"/>
      <c r="I272" s="60"/>
      <c r="J272" s="60"/>
      <c r="K272" s="60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  <c r="AW272" s="60"/>
      <c r="AX272" s="60"/>
      <c r="AY272" s="60"/>
      <c r="AZ272" s="60"/>
    </row>
    <row r="273" ht="13.5" spans="1:52">
      <c r="A273" s="60" t="s">
        <v>887</v>
      </c>
      <c r="B273" s="60" t="s">
        <v>888</v>
      </c>
      <c r="C273" s="60"/>
      <c r="D273" s="60"/>
      <c r="E273" s="60" t="s">
        <v>19</v>
      </c>
      <c r="F273" s="61" t="b">
        <f>IF(COUNTIF(按提示输入属性!F8,E273)&gt;0,TRUE,FALSE)</f>
        <v>1</v>
      </c>
      <c r="G273" s="61"/>
      <c r="H273" s="60"/>
      <c r="I273" s="60"/>
      <c r="J273" s="60"/>
      <c r="K273" s="60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>
        <v>974</v>
      </c>
      <c r="W273" s="69"/>
      <c r="X273" s="69"/>
      <c r="Y273" s="69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  <c r="AW273" s="60"/>
      <c r="AX273" s="60"/>
      <c r="AY273" s="60"/>
      <c r="AZ273" s="60"/>
    </row>
    <row r="274" ht="13.5" spans="1:52">
      <c r="A274" s="60"/>
      <c r="B274" s="60"/>
      <c r="C274" s="60"/>
      <c r="D274" s="60"/>
      <c r="E274" s="60" t="s">
        <v>889</v>
      </c>
      <c r="F274" s="61" t="b">
        <f>IF(COUNTIF(按提示输入属性!F8,E274)&gt;0,TRUE,FALSE)</f>
        <v>0</v>
      </c>
      <c r="G274" s="61"/>
      <c r="H274" s="60"/>
      <c r="I274" s="60"/>
      <c r="J274" s="60"/>
      <c r="K274" s="60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>
        <v>487</v>
      </c>
      <c r="W274" s="69"/>
      <c r="X274" s="69"/>
      <c r="Y274" s="69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</row>
    <row r="275" ht="13.5" spans="1:52">
      <c r="A275" s="60"/>
      <c r="B275" s="60"/>
      <c r="C275" s="60"/>
      <c r="D275" s="60"/>
      <c r="E275" s="60" t="s">
        <v>56</v>
      </c>
      <c r="F275" s="61" t="b">
        <f>IF(COUNTIF(按提示输入属性!F8,E275)&gt;0,TRUE,FALSE)</f>
        <v>0</v>
      </c>
      <c r="G275" s="61"/>
      <c r="H275" s="60"/>
      <c r="I275" s="60"/>
      <c r="J275" s="60"/>
      <c r="K275" s="60"/>
      <c r="L275" s="69"/>
      <c r="M275" s="69"/>
      <c r="N275" s="69">
        <v>524</v>
      </c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</row>
    <row r="276" ht="13.5" spans="1:52">
      <c r="A276" s="60"/>
      <c r="B276" s="60"/>
      <c r="C276" s="60"/>
      <c r="D276" s="60"/>
      <c r="E276" s="60" t="s">
        <v>890</v>
      </c>
      <c r="F276" s="61" t="b">
        <f>IF(COUNTIF(按提示输入属性!F8,E276)&gt;0,TRUE,FALSE)</f>
        <v>0</v>
      </c>
      <c r="G276" s="61"/>
      <c r="H276" s="60"/>
      <c r="I276" s="60"/>
      <c r="J276" s="60"/>
      <c r="K276" s="60"/>
      <c r="L276" s="69"/>
      <c r="M276" s="69"/>
      <c r="N276" s="69">
        <v>262</v>
      </c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  <c r="AV276" s="60"/>
      <c r="AW276" s="60"/>
      <c r="AX276" s="60"/>
      <c r="AY276" s="60"/>
      <c r="AZ276" s="60"/>
    </row>
    <row r="277" ht="13.5" spans="1:52">
      <c r="A277" s="60"/>
      <c r="B277" s="60"/>
      <c r="C277" s="60"/>
      <c r="D277" s="60"/>
      <c r="E277" s="60"/>
      <c r="F277" s="61"/>
      <c r="G277" s="61"/>
      <c r="H277" s="60"/>
      <c r="I277" s="60"/>
      <c r="J277" s="60"/>
      <c r="K277" s="60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  <c r="AW277" s="60"/>
      <c r="AX277" s="60"/>
      <c r="AY277" s="60"/>
      <c r="AZ277" s="60"/>
    </row>
    <row r="278" ht="13.5" spans="1:52">
      <c r="A278" s="60"/>
      <c r="B278" s="60" t="s">
        <v>22</v>
      </c>
      <c r="C278" s="60"/>
      <c r="D278" s="60"/>
      <c r="E278" s="60" t="s">
        <v>24</v>
      </c>
      <c r="F278" s="61" t="b">
        <f>IF(COUNTIF(按提示输入属性!F9,E278)&gt;0,TRUE,FALSE)</f>
        <v>1</v>
      </c>
      <c r="G278" s="61"/>
      <c r="H278" s="60"/>
      <c r="I278" s="60"/>
      <c r="J278" s="60"/>
      <c r="K278" s="60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>
        <v>291</v>
      </c>
      <c r="Y278" s="69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  <c r="AW278" s="60"/>
      <c r="AX278" s="60"/>
      <c r="AY278" s="60"/>
      <c r="AZ278" s="60"/>
    </row>
    <row r="279" ht="13.5" spans="1:52">
      <c r="A279" s="60"/>
      <c r="B279" s="60"/>
      <c r="C279" s="60"/>
      <c r="D279" s="60"/>
      <c r="E279" s="60" t="s">
        <v>891</v>
      </c>
      <c r="F279" s="61" t="b">
        <f>IF(COUNTIF(按提示输入属性!F9,E279)&gt;0,TRUE,FALSE)</f>
        <v>0</v>
      </c>
      <c r="G279" s="61"/>
      <c r="H279" s="60"/>
      <c r="I279" s="60"/>
      <c r="J279" s="60"/>
      <c r="K279" s="60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>
        <v>174</v>
      </c>
      <c r="Y279" s="69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  <c r="AZ279" s="60"/>
    </row>
    <row r="280" ht="13.5" spans="1:52">
      <c r="A280" s="60"/>
      <c r="B280" s="60"/>
      <c r="C280" s="60"/>
      <c r="D280" s="60"/>
      <c r="E280" s="60"/>
      <c r="F280" s="61"/>
      <c r="G280" s="61"/>
      <c r="H280" s="60"/>
      <c r="I280" s="60"/>
      <c r="J280" s="60"/>
      <c r="K280" s="60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  <c r="AW280" s="60"/>
      <c r="AX280" s="60"/>
      <c r="AY280" s="60"/>
      <c r="AZ280" s="60"/>
    </row>
    <row r="281" ht="13.5" spans="1:52">
      <c r="A281" s="60"/>
      <c r="B281" s="60" t="s">
        <v>26</v>
      </c>
      <c r="C281" s="60"/>
      <c r="D281" s="60"/>
      <c r="E281" s="60" t="s">
        <v>24</v>
      </c>
      <c r="F281" s="61" t="b">
        <f>IF(COUNTIF(按提示输入属性!F10,E281)&gt;0,TRUE,FALSE)</f>
        <v>1</v>
      </c>
      <c r="G281" s="61"/>
      <c r="H281" s="60"/>
      <c r="I281" s="60"/>
      <c r="J281" s="60"/>
      <c r="K281" s="60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>
        <v>291</v>
      </c>
      <c r="Y281" s="69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</row>
    <row r="282" ht="13.5" spans="1:52">
      <c r="A282" s="60"/>
      <c r="B282" s="60"/>
      <c r="C282" s="60"/>
      <c r="D282" s="60"/>
      <c r="E282" s="60" t="s">
        <v>891</v>
      </c>
      <c r="F282" s="61" t="b">
        <f>IF(COUNTIF(按提示输入属性!F10,E282)&gt;0,TRUE,FALSE)</f>
        <v>0</v>
      </c>
      <c r="G282" s="61"/>
      <c r="H282" s="60"/>
      <c r="I282" s="60"/>
      <c r="J282" s="60"/>
      <c r="K282" s="60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>
        <v>174</v>
      </c>
      <c r="Y282" s="69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  <c r="AV282" s="60"/>
      <c r="AW282" s="60"/>
      <c r="AX282" s="60"/>
      <c r="AY282" s="60"/>
      <c r="AZ282" s="60"/>
    </row>
    <row r="283" ht="13.5" spans="1:52">
      <c r="A283" s="60"/>
      <c r="B283" s="60"/>
      <c r="C283" s="60"/>
      <c r="D283" s="60"/>
      <c r="E283" s="60"/>
      <c r="F283" s="61"/>
      <c r="G283" s="61"/>
      <c r="H283" s="60"/>
      <c r="I283" s="60"/>
      <c r="J283" s="60"/>
      <c r="K283" s="60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</row>
    <row r="284" ht="13.5" spans="1:52">
      <c r="A284" s="60"/>
      <c r="B284" s="60" t="s">
        <v>29</v>
      </c>
      <c r="C284" s="60"/>
      <c r="D284" s="60"/>
      <c r="E284" s="60" t="s">
        <v>31</v>
      </c>
      <c r="F284" s="61" t="b">
        <f>IF(COUNTIF(按提示输入属性!F11,E284)&gt;0,TRUE,FALSE)</f>
        <v>1</v>
      </c>
      <c r="G284" s="61"/>
      <c r="H284" s="60"/>
      <c r="I284" s="60"/>
      <c r="J284" s="60"/>
      <c r="K284" s="60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>
        <v>974</v>
      </c>
      <c r="Y284" s="69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  <c r="AW284" s="60"/>
      <c r="AX284" s="60"/>
      <c r="AY284" s="60"/>
      <c r="AZ284" s="60"/>
    </row>
    <row r="285" ht="13.5" spans="1:52">
      <c r="A285" s="60"/>
      <c r="B285" s="60"/>
      <c r="C285" s="60"/>
      <c r="D285" s="60"/>
      <c r="E285" s="60" t="s">
        <v>892</v>
      </c>
      <c r="F285" s="61" t="b">
        <f>IF(COUNTIF(按提示输入属性!F11,E285)&gt;0,TRUE,FALSE)</f>
        <v>0</v>
      </c>
      <c r="G285" s="61"/>
      <c r="H285" s="60"/>
      <c r="I285" s="60"/>
      <c r="J285" s="60"/>
      <c r="K285" s="60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>
        <v>487</v>
      </c>
      <c r="Y285" s="69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  <c r="AW285" s="60"/>
      <c r="AX285" s="60"/>
      <c r="AY285" s="60"/>
      <c r="AZ285" s="60"/>
    </row>
    <row r="286" ht="13.5" spans="1:52">
      <c r="A286" s="60"/>
      <c r="B286" s="60"/>
      <c r="C286" s="60"/>
      <c r="D286" s="60"/>
      <c r="E286" s="60" t="s">
        <v>893</v>
      </c>
      <c r="F286" s="61" t="b">
        <f>IF(COUNTIF(按提示输入属性!F11,E286)&gt;0,TRUE,FALSE)</f>
        <v>0</v>
      </c>
      <c r="G286" s="61"/>
      <c r="H286" s="60"/>
      <c r="I286" s="60"/>
      <c r="J286" s="60"/>
      <c r="K286" s="60"/>
      <c r="L286" s="69"/>
      <c r="M286" s="69"/>
      <c r="N286" s="69"/>
      <c r="O286" s="69"/>
      <c r="P286" s="69"/>
      <c r="Q286" s="69"/>
      <c r="R286" s="69"/>
      <c r="S286" s="69"/>
      <c r="T286" s="69">
        <v>974</v>
      </c>
      <c r="U286" s="69"/>
      <c r="V286" s="69"/>
      <c r="W286" s="69"/>
      <c r="X286" s="69"/>
      <c r="Y286" s="69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  <c r="AZ286" s="60"/>
    </row>
    <row r="287" ht="13.5" spans="1:52">
      <c r="A287" s="60"/>
      <c r="B287" s="60"/>
      <c r="C287" s="60"/>
      <c r="D287" s="60"/>
      <c r="E287" s="60" t="s">
        <v>894</v>
      </c>
      <c r="F287" s="61" t="b">
        <f>IF(COUNTIF(按提示输入属性!F11,E287)&gt;0,TRUE,FALSE)</f>
        <v>0</v>
      </c>
      <c r="G287" s="61"/>
      <c r="H287" s="60"/>
      <c r="I287" s="60"/>
      <c r="J287" s="60"/>
      <c r="K287" s="60"/>
      <c r="L287" s="69"/>
      <c r="M287" s="69"/>
      <c r="N287" s="69"/>
      <c r="O287" s="69"/>
      <c r="P287" s="69"/>
      <c r="Q287" s="69"/>
      <c r="R287" s="69"/>
      <c r="S287" s="69"/>
      <c r="T287" s="69">
        <v>487</v>
      </c>
      <c r="U287" s="69"/>
      <c r="V287" s="69"/>
      <c r="W287" s="69"/>
      <c r="X287" s="69"/>
      <c r="Y287" s="69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  <c r="AV287" s="60"/>
      <c r="AW287" s="60"/>
      <c r="AX287" s="60"/>
      <c r="AY287" s="60"/>
      <c r="AZ287" s="60"/>
    </row>
    <row r="288" ht="13.5" spans="1:52">
      <c r="A288" s="60"/>
      <c r="B288" s="60"/>
      <c r="C288" s="60"/>
      <c r="D288" s="60"/>
      <c r="E288" s="60" t="s">
        <v>895</v>
      </c>
      <c r="F288" s="61" t="b">
        <f>IF(COUNTIF(按提示输入属性!F11,E288)&gt;0,TRUE,FALSE)</f>
        <v>0</v>
      </c>
      <c r="G288" s="61"/>
      <c r="H288" s="60"/>
      <c r="I288" s="60"/>
      <c r="J288" s="60"/>
      <c r="K288" s="60"/>
      <c r="L288" s="69"/>
      <c r="M288" s="69"/>
      <c r="N288" s="69"/>
      <c r="O288" s="69"/>
      <c r="P288" s="69">
        <v>974</v>
      </c>
      <c r="Q288" s="69"/>
      <c r="R288" s="69"/>
      <c r="S288" s="69"/>
      <c r="T288" s="69"/>
      <c r="U288" s="69"/>
      <c r="V288" s="69"/>
      <c r="W288" s="69"/>
      <c r="X288" s="69"/>
      <c r="Y288" s="69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</row>
    <row r="289" ht="13.5" spans="1:52">
      <c r="A289" s="60"/>
      <c r="B289" s="60"/>
      <c r="C289" s="60"/>
      <c r="D289" s="60"/>
      <c r="E289" s="60" t="s">
        <v>896</v>
      </c>
      <c r="F289" s="61" t="b">
        <f>IF(COUNTIF(按提示输入属性!F11,E289)&gt;0,TRUE,FALSE)</f>
        <v>0</v>
      </c>
      <c r="G289" s="61"/>
      <c r="H289" s="60"/>
      <c r="I289" s="60"/>
      <c r="J289" s="60"/>
      <c r="K289" s="60"/>
      <c r="L289" s="69"/>
      <c r="M289" s="69"/>
      <c r="N289" s="69"/>
      <c r="O289" s="69"/>
      <c r="P289" s="69">
        <v>487</v>
      </c>
      <c r="Q289" s="69"/>
      <c r="R289" s="69"/>
      <c r="S289" s="69"/>
      <c r="T289" s="69"/>
      <c r="U289" s="69"/>
      <c r="V289" s="69"/>
      <c r="W289" s="69"/>
      <c r="X289" s="69"/>
      <c r="Y289" s="69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</row>
    <row r="290" ht="13.5" spans="1:52">
      <c r="A290" s="60"/>
      <c r="B290" s="60"/>
      <c r="C290" s="60"/>
      <c r="D290" s="60"/>
      <c r="E290" s="60" t="s">
        <v>897</v>
      </c>
      <c r="F290" s="61" t="b">
        <f>IF(COUNTIF(按提示输入属性!F11,E290)&gt;0,TRUE,FALSE)</f>
        <v>0</v>
      </c>
      <c r="G290" s="61"/>
      <c r="H290" s="60"/>
      <c r="I290" s="60"/>
      <c r="J290" s="60"/>
      <c r="K290" s="60"/>
      <c r="L290" s="69">
        <v>218</v>
      </c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</row>
    <row r="291" ht="13.5" spans="1:52">
      <c r="A291" s="60"/>
      <c r="B291" s="60"/>
      <c r="C291" s="60"/>
      <c r="D291" s="60"/>
      <c r="E291" s="60" t="s">
        <v>898</v>
      </c>
      <c r="F291" s="61" t="b">
        <f>IF(COUNTIF(按提示输入属性!F11,E291)&gt;0,TRUE,FALSE)</f>
        <v>0</v>
      </c>
      <c r="G291" s="61"/>
      <c r="H291" s="60"/>
      <c r="I291" s="60"/>
      <c r="J291" s="60"/>
      <c r="K291" s="60"/>
      <c r="L291" s="69">
        <v>109</v>
      </c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  <c r="AZ291" s="60"/>
    </row>
    <row r="292" ht="13.5" spans="1:52">
      <c r="A292" s="60"/>
      <c r="B292" s="60"/>
      <c r="C292" s="60"/>
      <c r="D292" s="60"/>
      <c r="E292" s="60"/>
      <c r="F292" s="61"/>
      <c r="G292" s="61"/>
      <c r="H292" s="60"/>
      <c r="I292" s="60"/>
      <c r="J292" s="60"/>
      <c r="K292" s="60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  <c r="AW292" s="60"/>
      <c r="AX292" s="60"/>
      <c r="AY292" s="60"/>
      <c r="AZ292" s="60"/>
    </row>
    <row r="293" ht="13.5" spans="1:52">
      <c r="A293" s="60"/>
      <c r="B293" s="60" t="s">
        <v>33</v>
      </c>
      <c r="C293" s="60"/>
      <c r="D293" s="60"/>
      <c r="E293" s="60" t="s">
        <v>31</v>
      </c>
      <c r="F293" s="61" t="b">
        <f>IF(COUNTIF(按提示输入属性!F12,E293)&gt;0,TRUE,FALSE)</f>
        <v>1</v>
      </c>
      <c r="G293" s="61"/>
      <c r="H293" s="60"/>
      <c r="I293" s="60"/>
      <c r="J293" s="60"/>
      <c r="K293" s="60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>
        <v>974</v>
      </c>
      <c r="Y293" s="69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  <c r="AW293" s="60"/>
      <c r="AX293" s="60"/>
      <c r="AY293" s="60"/>
      <c r="AZ293" s="60"/>
    </row>
    <row r="294" ht="13.5" spans="1:52">
      <c r="A294" s="60"/>
      <c r="B294" s="60"/>
      <c r="C294" s="60"/>
      <c r="D294" s="60"/>
      <c r="E294" s="60" t="s">
        <v>892</v>
      </c>
      <c r="F294" s="61" t="b">
        <f>IF(COUNTIF(按提示输入属性!F12,E294)&gt;0,TRUE,FALSE)</f>
        <v>0</v>
      </c>
      <c r="G294" s="61"/>
      <c r="H294" s="60"/>
      <c r="I294" s="60"/>
      <c r="J294" s="60"/>
      <c r="K294" s="60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>
        <v>487</v>
      </c>
      <c r="Y294" s="69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</row>
    <row r="295" ht="13.5" spans="1:52">
      <c r="A295" s="60"/>
      <c r="B295" s="60"/>
      <c r="C295" s="60"/>
      <c r="D295" s="60"/>
      <c r="E295" s="60" t="s">
        <v>893</v>
      </c>
      <c r="F295" s="61" t="b">
        <f>IF(COUNTIF(按提示输入属性!F12,E295)&gt;0,TRUE,FALSE)</f>
        <v>0</v>
      </c>
      <c r="G295" s="61"/>
      <c r="H295" s="60"/>
      <c r="I295" s="60"/>
      <c r="J295" s="60"/>
      <c r="K295" s="60"/>
      <c r="L295" s="69"/>
      <c r="M295" s="69"/>
      <c r="N295" s="69"/>
      <c r="O295" s="69"/>
      <c r="P295" s="69"/>
      <c r="Q295" s="69"/>
      <c r="R295" s="69"/>
      <c r="S295" s="69"/>
      <c r="T295" s="69">
        <v>974</v>
      </c>
      <c r="U295" s="69"/>
      <c r="V295" s="69"/>
      <c r="W295" s="69"/>
      <c r="X295" s="69"/>
      <c r="Y295" s="69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</row>
    <row r="296" ht="13.5" spans="1:52">
      <c r="A296" s="60"/>
      <c r="B296" s="60"/>
      <c r="C296" s="60"/>
      <c r="D296" s="60"/>
      <c r="E296" s="60" t="s">
        <v>894</v>
      </c>
      <c r="F296" s="61" t="b">
        <f>IF(COUNTIF(按提示输入属性!F12,E296)&gt;0,TRUE,FALSE)</f>
        <v>0</v>
      </c>
      <c r="G296" s="61"/>
      <c r="H296" s="60"/>
      <c r="I296" s="60"/>
      <c r="J296" s="60"/>
      <c r="K296" s="60"/>
      <c r="L296" s="69"/>
      <c r="M296" s="69"/>
      <c r="N296" s="69"/>
      <c r="O296" s="69"/>
      <c r="P296" s="69"/>
      <c r="Q296" s="69"/>
      <c r="R296" s="69"/>
      <c r="S296" s="69"/>
      <c r="T296" s="69">
        <v>487</v>
      </c>
      <c r="U296" s="69"/>
      <c r="V296" s="69"/>
      <c r="W296" s="69"/>
      <c r="X296" s="69"/>
      <c r="Y296" s="69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</row>
    <row r="297" ht="13.5" spans="1:52">
      <c r="A297" s="60"/>
      <c r="B297" s="60"/>
      <c r="C297" s="60"/>
      <c r="D297" s="60"/>
      <c r="E297" s="60" t="s">
        <v>895</v>
      </c>
      <c r="F297" s="61" t="b">
        <f>IF(COUNTIF(按提示输入属性!F12,E297)&gt;0,TRUE,FALSE)</f>
        <v>0</v>
      </c>
      <c r="G297" s="61"/>
      <c r="H297" s="60"/>
      <c r="I297" s="60"/>
      <c r="J297" s="60"/>
      <c r="K297" s="60"/>
      <c r="L297" s="69"/>
      <c r="M297" s="69"/>
      <c r="N297" s="69"/>
      <c r="O297" s="69"/>
      <c r="P297" s="69">
        <v>974</v>
      </c>
      <c r="Q297" s="69"/>
      <c r="R297" s="69"/>
      <c r="S297" s="69"/>
      <c r="T297" s="69"/>
      <c r="U297" s="69"/>
      <c r="V297" s="69"/>
      <c r="W297" s="69"/>
      <c r="X297" s="69"/>
      <c r="Y297" s="69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</row>
    <row r="298" ht="13.5" spans="1:52">
      <c r="A298" s="60"/>
      <c r="B298" s="60"/>
      <c r="C298" s="60"/>
      <c r="D298" s="60"/>
      <c r="E298" s="60" t="s">
        <v>896</v>
      </c>
      <c r="F298" s="61" t="b">
        <f>IF(COUNTIF(按提示输入属性!F12,E298)&gt;0,TRUE,FALSE)</f>
        <v>0</v>
      </c>
      <c r="G298" s="61"/>
      <c r="H298" s="60"/>
      <c r="I298" s="60"/>
      <c r="J298" s="60"/>
      <c r="K298" s="60"/>
      <c r="L298" s="69"/>
      <c r="M298" s="69"/>
      <c r="N298" s="69"/>
      <c r="O298" s="69"/>
      <c r="P298" s="69">
        <v>487</v>
      </c>
      <c r="Q298" s="69"/>
      <c r="R298" s="69"/>
      <c r="S298" s="69"/>
      <c r="T298" s="69"/>
      <c r="U298" s="69"/>
      <c r="V298" s="69"/>
      <c r="W298" s="69"/>
      <c r="X298" s="69"/>
      <c r="Y298" s="69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  <c r="AW298" s="60"/>
      <c r="AX298" s="60"/>
      <c r="AY298" s="60"/>
      <c r="AZ298" s="60"/>
    </row>
    <row r="299" ht="13.5" spans="1:52">
      <c r="A299" s="60"/>
      <c r="B299" s="60"/>
      <c r="C299" s="60"/>
      <c r="D299" s="60"/>
      <c r="E299" s="60" t="s">
        <v>897</v>
      </c>
      <c r="F299" s="61" t="b">
        <f>IF(COUNTIF(按提示输入属性!F12,E299)&gt;0,TRUE,FALSE)</f>
        <v>0</v>
      </c>
      <c r="G299" s="61"/>
      <c r="H299" s="60"/>
      <c r="I299" s="60"/>
      <c r="J299" s="60"/>
      <c r="K299" s="60"/>
      <c r="L299" s="69">
        <v>218</v>
      </c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  <c r="AU299" s="60"/>
      <c r="AV299" s="60"/>
      <c r="AW299" s="60"/>
      <c r="AX299" s="60"/>
      <c r="AY299" s="60"/>
      <c r="AZ299" s="60"/>
    </row>
    <row r="300" ht="13.5" spans="1:52">
      <c r="A300" s="60"/>
      <c r="B300" s="60"/>
      <c r="C300" s="60"/>
      <c r="D300" s="60"/>
      <c r="E300" s="60" t="s">
        <v>898</v>
      </c>
      <c r="F300" s="61" t="b">
        <f>IF(COUNTIF(按提示输入属性!F12,E300)&gt;0,TRUE,FALSE)</f>
        <v>0</v>
      </c>
      <c r="G300" s="61"/>
      <c r="H300" s="60"/>
      <c r="I300" s="60"/>
      <c r="J300" s="60"/>
      <c r="K300" s="60"/>
      <c r="L300" s="69">
        <v>109</v>
      </c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60"/>
      <c r="AU300" s="60"/>
      <c r="AV300" s="60"/>
      <c r="AW300" s="60"/>
      <c r="AX300" s="60"/>
      <c r="AY300" s="60"/>
      <c r="AZ300" s="60"/>
    </row>
    <row r="301" ht="13.5" spans="1:52">
      <c r="A301" s="60"/>
      <c r="B301" s="60"/>
      <c r="C301" s="60"/>
      <c r="D301" s="60"/>
      <c r="E301" s="60"/>
      <c r="F301" s="61"/>
      <c r="G301" s="61"/>
      <c r="H301" s="60"/>
      <c r="I301" s="60"/>
      <c r="J301" s="60"/>
      <c r="K301" s="60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60"/>
      <c r="AU301" s="60"/>
      <c r="AV301" s="60"/>
      <c r="AW301" s="60"/>
      <c r="AX301" s="60"/>
      <c r="AY301" s="60"/>
      <c r="AZ301" s="60"/>
    </row>
    <row r="302" ht="13.5" spans="1:52">
      <c r="A302" s="60"/>
      <c r="B302" s="60" t="s">
        <v>36</v>
      </c>
      <c r="C302" s="60"/>
      <c r="D302" s="60"/>
      <c r="E302" s="60" t="s">
        <v>19</v>
      </c>
      <c r="F302" s="61" t="b">
        <f>IF(COUNTIF(按提示输入属性!F13,E302)&gt;0,TRUE,FALSE)</f>
        <v>1</v>
      </c>
      <c r="G302" s="61"/>
      <c r="H302" s="60"/>
      <c r="I302" s="60"/>
      <c r="J302" s="60"/>
      <c r="K302" s="60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>
        <v>974</v>
      </c>
      <c r="W302" s="69"/>
      <c r="X302" s="69"/>
      <c r="Y302" s="69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60"/>
      <c r="AU302" s="60"/>
      <c r="AV302" s="60"/>
      <c r="AW302" s="60"/>
      <c r="AX302" s="60"/>
      <c r="AY302" s="60"/>
      <c r="AZ302" s="60"/>
    </row>
    <row r="303" ht="13.5" spans="1:52">
      <c r="A303" s="60"/>
      <c r="B303" s="60"/>
      <c r="C303" s="60"/>
      <c r="D303" s="60"/>
      <c r="E303" s="60" t="s">
        <v>889</v>
      </c>
      <c r="F303" s="61" t="b">
        <f>IF(COUNTIF(按提示输入属性!F13,E303)&gt;0,TRUE,FALSE)</f>
        <v>0</v>
      </c>
      <c r="G303" s="61"/>
      <c r="H303" s="60"/>
      <c r="I303" s="60"/>
      <c r="J303" s="60"/>
      <c r="K303" s="60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>
        <v>487</v>
      </c>
      <c r="W303" s="69"/>
      <c r="X303" s="69"/>
      <c r="Y303" s="69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60"/>
      <c r="AV303" s="60"/>
      <c r="AW303" s="60"/>
      <c r="AX303" s="60"/>
      <c r="AY303" s="60"/>
      <c r="AZ303" s="60"/>
    </row>
    <row r="304" ht="13.5" spans="1:52">
      <c r="A304" s="60"/>
      <c r="B304" s="60"/>
      <c r="C304" s="60"/>
      <c r="D304" s="60"/>
      <c r="E304" s="60" t="s">
        <v>56</v>
      </c>
      <c r="F304" s="61" t="b">
        <f>IF(COUNTIF(按提示输入属性!F13,E304)&gt;0,TRUE,FALSE)</f>
        <v>0</v>
      </c>
      <c r="G304" s="61"/>
      <c r="H304" s="60"/>
      <c r="I304" s="60"/>
      <c r="J304" s="60"/>
      <c r="K304" s="60"/>
      <c r="L304" s="69"/>
      <c r="M304" s="69"/>
      <c r="N304" s="69">
        <v>524</v>
      </c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60"/>
      <c r="AV304" s="60"/>
      <c r="AW304" s="60"/>
      <c r="AX304" s="60"/>
      <c r="AY304" s="60"/>
      <c r="AZ304" s="60"/>
    </row>
    <row r="305" ht="13.5" spans="1:52">
      <c r="A305" s="60"/>
      <c r="B305" s="60"/>
      <c r="C305" s="60"/>
      <c r="D305" s="60"/>
      <c r="E305" s="60" t="s">
        <v>890</v>
      </c>
      <c r="F305" s="61" t="b">
        <f>IF(COUNTIF(按提示输入属性!F13,E305)&gt;0,TRUE,FALSE)</f>
        <v>0</v>
      </c>
      <c r="G305" s="61"/>
      <c r="H305" s="60"/>
      <c r="I305" s="60"/>
      <c r="J305" s="60"/>
      <c r="K305" s="60"/>
      <c r="L305" s="69"/>
      <c r="M305" s="69"/>
      <c r="N305" s="69">
        <v>262</v>
      </c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60"/>
      <c r="AV305" s="60"/>
      <c r="AW305" s="60"/>
      <c r="AX305" s="60"/>
      <c r="AY305" s="60"/>
      <c r="AZ305" s="60"/>
    </row>
    <row r="306" ht="13.5" spans="1:52">
      <c r="A306" s="60"/>
      <c r="B306" s="60"/>
      <c r="C306" s="60"/>
      <c r="D306" s="60"/>
      <c r="E306" s="60"/>
      <c r="F306" s="61"/>
      <c r="G306" s="61"/>
      <c r="H306" s="60"/>
      <c r="I306" s="60"/>
      <c r="J306" s="60"/>
      <c r="K306" s="60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  <c r="AU306" s="60"/>
      <c r="AV306" s="60"/>
      <c r="AW306" s="60"/>
      <c r="AX306" s="60"/>
      <c r="AY306" s="60"/>
      <c r="AZ306" s="60"/>
    </row>
    <row r="307" ht="13.5" spans="1:52">
      <c r="A307" s="60"/>
      <c r="B307" s="60" t="s">
        <v>39</v>
      </c>
      <c r="C307" s="60"/>
      <c r="D307" s="60"/>
      <c r="E307" s="60" t="s">
        <v>899</v>
      </c>
      <c r="F307" s="61" t="b">
        <f>IF(COUNTIF(按提示输入属性!F14,E307)&gt;0,TRUE,FALSE)</f>
        <v>0</v>
      </c>
      <c r="G307" s="61"/>
      <c r="H307" s="60"/>
      <c r="I307" s="60"/>
      <c r="J307" s="60"/>
      <c r="K307" s="60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  <c r="AU307" s="60"/>
      <c r="AV307" s="60"/>
      <c r="AW307" s="60"/>
      <c r="AX307" s="60"/>
      <c r="AY307" s="60"/>
      <c r="AZ307" s="60"/>
    </row>
    <row r="308" ht="13.5" spans="1:52">
      <c r="A308" s="60"/>
      <c r="B308" s="60"/>
      <c r="C308" s="60"/>
      <c r="D308" s="60"/>
      <c r="E308" s="60"/>
      <c r="F308" s="61"/>
      <c r="G308" s="61"/>
      <c r="H308" s="60"/>
      <c r="I308" s="60"/>
      <c r="J308" s="60"/>
      <c r="K308" s="60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60"/>
      <c r="AV308" s="60"/>
      <c r="AW308" s="60"/>
      <c r="AX308" s="60"/>
      <c r="AY308" s="60"/>
      <c r="AZ308" s="60"/>
    </row>
    <row r="309" ht="13.5" spans="1:52">
      <c r="A309" s="60"/>
      <c r="B309" s="60" t="s">
        <v>43</v>
      </c>
      <c r="C309" s="60"/>
      <c r="D309" s="60"/>
      <c r="E309" s="60" t="s">
        <v>899</v>
      </c>
      <c r="F309" s="61" t="b">
        <f>IF(COUNTIF(按提示输入属性!F15,E309)&gt;0,TRUE,FALSE)</f>
        <v>0</v>
      </c>
      <c r="G309" s="61"/>
      <c r="H309" s="60"/>
      <c r="I309" s="60"/>
      <c r="J309" s="60"/>
      <c r="K309" s="60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0"/>
      <c r="AV309" s="60"/>
      <c r="AW309" s="60"/>
      <c r="AX309" s="60"/>
      <c r="AY309" s="60"/>
      <c r="AZ309" s="60"/>
    </row>
    <row r="310" ht="13.5" spans="1:52">
      <c r="A310" s="60"/>
      <c r="B310" s="60"/>
      <c r="C310" s="60"/>
      <c r="D310" s="60"/>
      <c r="E310" s="60"/>
      <c r="F310" s="61"/>
      <c r="G310" s="61"/>
      <c r="H310" s="60"/>
      <c r="I310" s="60"/>
      <c r="J310" s="60"/>
      <c r="K310" s="60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0"/>
      <c r="AV310" s="60"/>
      <c r="AW310" s="60"/>
      <c r="AX310" s="60"/>
      <c r="AY310" s="60"/>
      <c r="AZ310" s="60"/>
    </row>
    <row r="311" ht="13.5" spans="1:52">
      <c r="A311" s="60"/>
      <c r="B311" s="60" t="s">
        <v>45</v>
      </c>
      <c r="C311" s="60"/>
      <c r="D311" s="60"/>
      <c r="E311" s="60" t="s">
        <v>19</v>
      </c>
      <c r="F311" s="61" t="b">
        <f>IF(COUNTIF(按提示输入属性!F16,E311)&gt;0,TRUE,FALSE)</f>
        <v>1</v>
      </c>
      <c r="G311" s="61"/>
      <c r="H311" s="60"/>
      <c r="I311" s="60"/>
      <c r="J311" s="60"/>
      <c r="K311" s="60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>
        <v>974</v>
      </c>
      <c r="W311" s="69"/>
      <c r="X311" s="69"/>
      <c r="Y311" s="69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60"/>
      <c r="AV311" s="60"/>
      <c r="AW311" s="60"/>
      <c r="AX311" s="60"/>
      <c r="AY311" s="60"/>
      <c r="AZ311" s="60"/>
    </row>
    <row r="312" ht="13.5" spans="1:52">
      <c r="A312" s="60"/>
      <c r="B312" s="60"/>
      <c r="C312" s="60"/>
      <c r="D312" s="60"/>
      <c r="E312" s="60" t="s">
        <v>56</v>
      </c>
      <c r="F312" s="61" t="b">
        <f>IF(COUNTIF(按提示输入属性!F16,E312)&gt;0,TRUE,FALSE)</f>
        <v>0</v>
      </c>
      <c r="G312" s="61"/>
      <c r="H312" s="60"/>
      <c r="I312" s="60"/>
      <c r="J312" s="60"/>
      <c r="K312" s="60"/>
      <c r="L312" s="69"/>
      <c r="M312" s="69"/>
      <c r="N312" s="69">
        <v>524</v>
      </c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60"/>
      <c r="AU312" s="60"/>
      <c r="AV312" s="60"/>
      <c r="AW312" s="60"/>
      <c r="AX312" s="60"/>
      <c r="AY312" s="60"/>
      <c r="AZ312" s="60"/>
    </row>
    <row r="313" ht="13.5" spans="1:52">
      <c r="A313" s="60"/>
      <c r="B313" s="60"/>
      <c r="C313" s="60"/>
      <c r="D313" s="60"/>
      <c r="E313" s="60" t="s">
        <v>897</v>
      </c>
      <c r="F313" s="61" t="b">
        <f>IF(COUNTIF(按提示输入属性!F16,E313)&gt;0,TRUE,FALSE)</f>
        <v>0</v>
      </c>
      <c r="G313" s="61"/>
      <c r="H313" s="60"/>
      <c r="I313" s="60"/>
      <c r="J313" s="60"/>
      <c r="K313" s="60"/>
      <c r="L313" s="69">
        <v>218</v>
      </c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60"/>
      <c r="AV313" s="60"/>
      <c r="AW313" s="60"/>
      <c r="AX313" s="60"/>
      <c r="AY313" s="60"/>
      <c r="AZ313" s="60"/>
    </row>
    <row r="314" ht="13.5" spans="1:52">
      <c r="A314" s="60"/>
      <c r="B314" s="60"/>
      <c r="C314" s="60"/>
      <c r="D314" s="60"/>
      <c r="E314" s="60"/>
      <c r="F314" s="61"/>
      <c r="G314" s="61"/>
      <c r="H314" s="60"/>
      <c r="I314" s="60"/>
      <c r="J314" s="60"/>
      <c r="K314" s="60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60"/>
      <c r="AU314" s="60"/>
      <c r="AV314" s="60"/>
      <c r="AW314" s="60"/>
      <c r="AX314" s="60"/>
      <c r="AY314" s="60"/>
      <c r="AZ314" s="60"/>
    </row>
    <row r="315" ht="13.5" spans="1:52">
      <c r="A315" s="60"/>
      <c r="B315" s="60" t="s">
        <v>45</v>
      </c>
      <c r="C315" s="60"/>
      <c r="D315" s="60"/>
      <c r="E315" s="60" t="s">
        <v>19</v>
      </c>
      <c r="F315" s="61" t="b">
        <f>IF(COUNTIF(按提示输入属性!F17,E315)&gt;0,TRUE,FALSE)</f>
        <v>1</v>
      </c>
      <c r="G315" s="61"/>
      <c r="H315" s="60"/>
      <c r="I315" s="60"/>
      <c r="J315" s="60"/>
      <c r="K315" s="60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>
        <v>974</v>
      </c>
      <c r="W315" s="69"/>
      <c r="X315" s="69"/>
      <c r="Y315" s="69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60"/>
      <c r="AU315" s="60"/>
      <c r="AV315" s="60"/>
      <c r="AW315" s="60"/>
      <c r="AX315" s="60"/>
      <c r="AY315" s="60"/>
      <c r="AZ315" s="60"/>
    </row>
    <row r="316" ht="13.5" spans="1:52">
      <c r="A316" s="60"/>
      <c r="B316" s="60"/>
      <c r="C316" s="60"/>
      <c r="D316" s="60"/>
      <c r="E316" s="60" t="s">
        <v>56</v>
      </c>
      <c r="F316" s="61" t="b">
        <f>IF(COUNTIF(按提示输入属性!F17,E316)&gt;0,TRUE,FALSE)</f>
        <v>0</v>
      </c>
      <c r="G316" s="61"/>
      <c r="H316" s="60"/>
      <c r="I316" s="60"/>
      <c r="J316" s="60"/>
      <c r="K316" s="60"/>
      <c r="L316" s="69"/>
      <c r="M316" s="69"/>
      <c r="N316" s="69">
        <v>524</v>
      </c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60"/>
      <c r="AU316" s="60"/>
      <c r="AV316" s="60"/>
      <c r="AW316" s="60"/>
      <c r="AX316" s="60"/>
      <c r="AY316" s="60"/>
      <c r="AZ316" s="60"/>
    </row>
    <row r="317" ht="13.5" spans="1:52">
      <c r="A317" s="60"/>
      <c r="B317" s="60"/>
      <c r="C317" s="60"/>
      <c r="D317" s="60"/>
      <c r="E317" s="60" t="s">
        <v>897</v>
      </c>
      <c r="F317" s="61" t="b">
        <f>IF(COUNTIF(按提示输入属性!F17,E317)&gt;0,TRUE,FALSE)</f>
        <v>0</v>
      </c>
      <c r="G317" s="61"/>
      <c r="H317" s="60"/>
      <c r="I317" s="60"/>
      <c r="J317" s="60"/>
      <c r="K317" s="60"/>
      <c r="L317" s="69">
        <v>218</v>
      </c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60"/>
      <c r="AU317" s="60"/>
      <c r="AV317" s="60"/>
      <c r="AW317" s="60"/>
      <c r="AX317" s="60"/>
      <c r="AY317" s="60"/>
      <c r="AZ317" s="60"/>
    </row>
    <row r="318" ht="13.5" spans="1:52">
      <c r="A318" s="60"/>
      <c r="B318" s="60"/>
      <c r="C318" s="60"/>
      <c r="D318" s="60"/>
      <c r="E318" s="60"/>
      <c r="F318" s="61"/>
      <c r="G318" s="61"/>
      <c r="H318" s="60"/>
      <c r="I318" s="60"/>
      <c r="J318" s="60"/>
      <c r="K318" s="60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60"/>
      <c r="AV318" s="60"/>
      <c r="AW318" s="60"/>
      <c r="AX318" s="60"/>
      <c r="AY318" s="60"/>
      <c r="AZ318" s="60"/>
    </row>
    <row r="319" ht="13.5" spans="1:52">
      <c r="A319" s="60"/>
      <c r="B319" s="60" t="s">
        <v>51</v>
      </c>
      <c r="C319" s="60"/>
      <c r="D319" s="60"/>
      <c r="E319" s="60" t="s">
        <v>53</v>
      </c>
      <c r="F319" s="61" t="b">
        <f>IF(COUNTIF(按提示输入属性!F18,E319)&gt;0,TRUE,FALSE)</f>
        <v>1</v>
      </c>
      <c r="G319" s="61"/>
      <c r="H319" s="60"/>
      <c r="I319" s="60"/>
      <c r="J319" s="60"/>
      <c r="K319" s="60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60"/>
      <c r="AU319" s="60"/>
      <c r="AV319" s="60"/>
      <c r="AW319" s="60"/>
      <c r="AX319" s="60"/>
      <c r="AY319" s="60"/>
      <c r="AZ319" s="60"/>
    </row>
    <row r="320" ht="13.5" spans="1:52">
      <c r="A320" s="60"/>
      <c r="B320" s="60"/>
      <c r="C320" s="60"/>
      <c r="D320" s="60"/>
      <c r="E320" s="60" t="s">
        <v>900</v>
      </c>
      <c r="F320" s="61" t="b">
        <f>IF(COUNTIF(按提示输入属性!F18,E320)&gt;0,TRUE,FALSE)</f>
        <v>0</v>
      </c>
      <c r="G320" s="61"/>
      <c r="H320" s="60"/>
      <c r="I320" s="60"/>
      <c r="J320" s="60"/>
      <c r="K320" s="60"/>
      <c r="L320" s="69"/>
      <c r="M320" s="69"/>
      <c r="N320" s="69"/>
      <c r="O320" s="69"/>
      <c r="P320" s="69"/>
      <c r="Q320" s="69"/>
      <c r="R320" s="69"/>
      <c r="S320" s="69"/>
      <c r="T320" s="69">
        <v>974</v>
      </c>
      <c r="U320" s="69"/>
      <c r="V320" s="69"/>
      <c r="W320" s="69"/>
      <c r="X320" s="69"/>
      <c r="Y320" s="69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60"/>
      <c r="AU320" s="60"/>
      <c r="AV320" s="60"/>
      <c r="AW320" s="60"/>
      <c r="AX320" s="60"/>
      <c r="AY320" s="60"/>
      <c r="AZ320" s="60"/>
    </row>
    <row r="321" ht="13.5" spans="1:52">
      <c r="A321" s="60"/>
      <c r="B321" s="60"/>
      <c r="C321" s="60"/>
      <c r="D321" s="60"/>
      <c r="E321" s="60"/>
      <c r="F321" s="61"/>
      <c r="G321" s="61"/>
      <c r="H321" s="60"/>
      <c r="I321" s="60"/>
      <c r="J321" s="60"/>
      <c r="K321" s="60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60"/>
      <c r="AU321" s="60"/>
      <c r="AV321" s="60"/>
      <c r="AW321" s="60"/>
      <c r="AX321" s="60"/>
      <c r="AY321" s="60"/>
      <c r="AZ321" s="60"/>
    </row>
    <row r="322" ht="13.5" spans="1:52">
      <c r="A322" s="60"/>
      <c r="B322" s="60" t="s">
        <v>54</v>
      </c>
      <c r="C322" s="60"/>
      <c r="D322" s="60"/>
      <c r="E322" s="60" t="s">
        <v>56</v>
      </c>
      <c r="F322" s="61" t="b">
        <f>IF(COUNTIF(按提示输入属性!F19,E322)&gt;0,TRUE,FALSE)</f>
        <v>1</v>
      </c>
      <c r="G322" s="61"/>
      <c r="H322" s="60"/>
      <c r="I322" s="60"/>
      <c r="J322" s="60"/>
      <c r="K322" s="60"/>
      <c r="L322" s="69"/>
      <c r="M322" s="69"/>
      <c r="N322" s="69">
        <v>524</v>
      </c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  <c r="AU322" s="60"/>
      <c r="AV322" s="60"/>
      <c r="AW322" s="60"/>
      <c r="AX322" s="60"/>
      <c r="AY322" s="60"/>
      <c r="AZ322" s="60"/>
    </row>
    <row r="323" ht="13.5" spans="1:52">
      <c r="A323" s="60"/>
      <c r="B323" s="60"/>
      <c r="C323" s="60"/>
      <c r="D323" s="60"/>
      <c r="E323" s="60" t="s">
        <v>890</v>
      </c>
      <c r="F323" s="61" t="b">
        <f>IF(COUNTIF(按提示输入属性!F19,E323)&gt;0,TRUE,FALSE)</f>
        <v>0</v>
      </c>
      <c r="G323" s="61"/>
      <c r="H323" s="60"/>
      <c r="I323" s="60"/>
      <c r="J323" s="60"/>
      <c r="K323" s="60"/>
      <c r="L323" s="69"/>
      <c r="M323" s="69"/>
      <c r="N323" s="69">
        <v>262</v>
      </c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60"/>
      <c r="AU323" s="60"/>
      <c r="AV323" s="60"/>
      <c r="AW323" s="60"/>
      <c r="AX323" s="60"/>
      <c r="AY323" s="60"/>
      <c r="AZ323" s="60"/>
    </row>
    <row r="324" ht="13.5" spans="1:52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60"/>
      <c r="AU324" s="60"/>
      <c r="AV324" s="60"/>
      <c r="AW324" s="60"/>
      <c r="AX324" s="60"/>
      <c r="AY324" s="60"/>
      <c r="AZ324" s="60"/>
    </row>
    <row r="325" ht="13.5" spans="1:52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60"/>
      <c r="AU325" s="60"/>
      <c r="AV325" s="60"/>
      <c r="AW325" s="60"/>
      <c r="AX325" s="60"/>
      <c r="AY325" s="60"/>
      <c r="AZ325" s="60"/>
    </row>
    <row r="326" ht="13.5" spans="1:52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60"/>
      <c r="AU326" s="60"/>
      <c r="AV326" s="60"/>
      <c r="AW326" s="60"/>
      <c r="AX326" s="60"/>
      <c r="AY326" s="60"/>
      <c r="AZ326" s="60"/>
    </row>
    <row r="327" ht="13.5" spans="1:52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60"/>
      <c r="AU327" s="60"/>
      <c r="AV327" s="60"/>
      <c r="AW327" s="60"/>
      <c r="AX327" s="60"/>
      <c r="AY327" s="60"/>
      <c r="AZ327" s="60"/>
    </row>
    <row r="328" ht="13.5" spans="1:52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>
        <f>SUMIFS(L3:L327,L3:L327,"&gt;0.001",$F$3:$F$327,TRUE)</f>
        <v>6282</v>
      </c>
      <c r="M328" s="60"/>
      <c r="N328" s="60">
        <f>SUMIFS(N3:N327,N3:N327,"&gt;0",$F$3:$F$327,TRUE)</f>
        <v>27728</v>
      </c>
      <c r="O328" s="60"/>
      <c r="P328" s="60">
        <f>SUMIFS(P3:P327,P3:P327,"&gt;0",$F$3:$F$327,TRUE)</f>
        <v>17105</v>
      </c>
      <c r="Q328" s="60"/>
      <c r="R328" s="60">
        <f t="shared" ref="M328:AO328" si="0">SUMIFS(R3:R327,R3:R327,"&gt;0",$F$3:$F$327,TRUE)</f>
        <v>7066</v>
      </c>
      <c r="S328" s="60"/>
      <c r="T328" s="60">
        <f t="shared" si="0"/>
        <v>31448</v>
      </c>
      <c r="U328" s="60"/>
      <c r="V328" s="60">
        <f t="shared" si="0"/>
        <v>20745</v>
      </c>
      <c r="W328" s="60"/>
      <c r="X328" s="60">
        <f t="shared" si="0"/>
        <v>25109</v>
      </c>
      <c r="Y328" s="60">
        <f t="shared" si="0"/>
        <v>0</v>
      </c>
      <c r="Z328" s="60">
        <f t="shared" si="0"/>
        <v>1406</v>
      </c>
      <c r="AA328" s="60">
        <f t="shared" si="0"/>
        <v>2343</v>
      </c>
      <c r="AB328" s="60">
        <f t="shared" si="0"/>
        <v>3</v>
      </c>
      <c r="AC328" s="60">
        <f t="shared" si="0"/>
        <v>5</v>
      </c>
      <c r="AD328" s="60">
        <f t="shared" si="0"/>
        <v>3</v>
      </c>
      <c r="AE328" s="60">
        <f t="shared" si="0"/>
        <v>1</v>
      </c>
      <c r="AF328" s="60">
        <f t="shared" si="0"/>
        <v>4</v>
      </c>
      <c r="AG328" s="60">
        <f t="shared" si="0"/>
        <v>1</v>
      </c>
      <c r="AH328" s="60">
        <f t="shared" si="0"/>
        <v>1</v>
      </c>
      <c r="AI328" s="60">
        <f t="shared" si="0"/>
        <v>0</v>
      </c>
      <c r="AJ328" s="60">
        <f t="shared" si="0"/>
        <v>0</v>
      </c>
      <c r="AK328" s="60">
        <f t="shared" si="0"/>
        <v>0</v>
      </c>
      <c r="AL328" s="60">
        <f t="shared" si="0"/>
        <v>0</v>
      </c>
      <c r="AM328" s="60">
        <f t="shared" si="0"/>
        <v>4</v>
      </c>
      <c r="AN328" s="60">
        <f t="shared" si="0"/>
        <v>2</v>
      </c>
      <c r="AO328" s="60">
        <f t="shared" si="0"/>
        <v>2</v>
      </c>
      <c r="AP328" s="60"/>
      <c r="AQ328" s="60"/>
      <c r="AR328" s="60"/>
      <c r="AS328" s="60"/>
      <c r="AT328" s="60"/>
      <c r="AU328" s="60"/>
      <c r="AV328" s="60"/>
      <c r="AW328" s="60"/>
      <c r="AX328" s="60"/>
      <c r="AY328" s="60"/>
      <c r="AZ328" s="60"/>
    </row>
    <row r="329" ht="13.5" spans="1:52">
      <c r="A329" s="60"/>
      <c r="B329" s="60"/>
      <c r="C329" s="60"/>
      <c r="D329" s="60"/>
      <c r="E329" s="60" t="s">
        <v>901</v>
      </c>
      <c r="F329" s="60"/>
      <c r="G329" s="60"/>
      <c r="H329" s="60"/>
      <c r="I329" s="60"/>
      <c r="J329" s="60"/>
      <c r="K329" s="60"/>
      <c r="L329" s="60">
        <f>AB328*O339*AB336+AB328*Q339*AB337+AB328*S339*AB338</f>
        <v>279</v>
      </c>
      <c r="M329" s="60"/>
      <c r="N329" s="60">
        <f>AC328*O339*AC336+AC328*Q339*AC337+AC328*S339*AC338</f>
        <v>1115</v>
      </c>
      <c r="O329" s="60"/>
      <c r="P329" s="60">
        <f>AD328*O339*AD336+AD328*Q339*AD337+AD328*S339*AD338</f>
        <v>1254</v>
      </c>
      <c r="Q329" s="60"/>
      <c r="R329" s="60">
        <f>AE328*O339*AE336+AE328*Q339*AE337+AE328*S339*AE338</f>
        <v>418</v>
      </c>
      <c r="S329" s="60"/>
      <c r="T329" s="60">
        <f>AF328*O339*AF336+AF328*Q339*AF337+AF328*S339*AF338</f>
        <v>1672</v>
      </c>
      <c r="U329" s="60"/>
      <c r="V329" s="60">
        <f>AG328*O339*AG336+AG328*Q339*AG337+AG328*S339*AG338</f>
        <v>418</v>
      </c>
      <c r="W329" s="60"/>
      <c r="X329" s="60">
        <f>AH328*O339*AH336+AH328*Q339*AH337+AH328*S339*AH338</f>
        <v>418</v>
      </c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 t="s">
        <v>28</v>
      </c>
      <c r="AK329" s="60" t="s">
        <v>28</v>
      </c>
      <c r="AL329" s="60" t="s">
        <v>96</v>
      </c>
      <c r="AM329" s="60" t="s">
        <v>97</v>
      </c>
      <c r="AN329" s="60" t="s">
        <v>902</v>
      </c>
      <c r="AO329" s="60" t="s">
        <v>903</v>
      </c>
      <c r="AP329" s="60"/>
      <c r="AQ329" s="60"/>
      <c r="AR329" s="60"/>
      <c r="AS329" s="60"/>
      <c r="AT329" s="60"/>
      <c r="AU329" s="60"/>
      <c r="AV329" s="60"/>
      <c r="AW329" s="60"/>
      <c r="AX329" s="60"/>
      <c r="AY329" s="60"/>
      <c r="AZ329" s="60"/>
    </row>
    <row r="330" ht="13.5" spans="1:52">
      <c r="A330" s="60"/>
      <c r="B330" s="60"/>
      <c r="C330" s="60"/>
      <c r="D330" s="60"/>
      <c r="E330" s="60" t="s">
        <v>904</v>
      </c>
      <c r="F330" s="60"/>
      <c r="G330" s="60"/>
      <c r="H330" s="60"/>
      <c r="I330" s="60"/>
      <c r="J330" s="60"/>
      <c r="K330" s="60"/>
      <c r="L330" s="60">
        <f>SUM(L328:L329)+41</f>
        <v>6602</v>
      </c>
      <c r="M330" s="60"/>
      <c r="N330" s="60">
        <f>SUM(N328:N329)+591*额外增益统计!E149+655*额外增益统计!D149+IF(按提示输入属性!H57=1,591,0)+IF(按提示输入属性!H57=2,655,0)</f>
        <v>29434</v>
      </c>
      <c r="O330" s="60"/>
      <c r="P330" s="60">
        <f>INT(SUM(P328:P329)+1788+INT(L330*0.56)+INT(L330*0.64))+AJ330+AK330</f>
        <v>28069</v>
      </c>
      <c r="Q330" s="60"/>
      <c r="R330" s="60">
        <f>SUM(R328:R329)</f>
        <v>7484</v>
      </c>
      <c r="S330" s="60"/>
      <c r="T330" s="60">
        <f>SUM(T328:T329)+1098*额外增益统计!E145+12+1218*额外增益统计!D145+IF(按提示输入属性!H56=1,1098,0)+IF(按提示输入属性!H56=2,1218,0)</f>
        <v>34230</v>
      </c>
      <c r="U330" s="60"/>
      <c r="V330" s="60">
        <f>SUM(V328:V329)</f>
        <v>21163</v>
      </c>
      <c r="W330" s="60"/>
      <c r="X330" s="60">
        <f>SUM(X328:X329)+AJ332+AK332</f>
        <v>25527</v>
      </c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 t="s">
        <v>905</v>
      </c>
      <c r="AJ330" s="60">
        <f>IF(AJ328&gt;=2,1215,0)</f>
        <v>0</v>
      </c>
      <c r="AK330" s="60">
        <f>IF(AK328&gt;=2,1363,0)</f>
        <v>0</v>
      </c>
      <c r="AL330" s="72">
        <f>IF(AL328&gt;=2,10%,0)</f>
        <v>0</v>
      </c>
      <c r="AM330" s="72">
        <f>IF(AM328&gt;=2,4%,0)</f>
        <v>0.04</v>
      </c>
      <c r="AN330" s="60">
        <f>IF(AN328=1,1,0)</f>
        <v>0</v>
      </c>
      <c r="AO330" s="60">
        <f>IF(AO328=1,1,0)</f>
        <v>0</v>
      </c>
      <c r="AP330" s="60"/>
      <c r="AQ330" s="60"/>
      <c r="AR330" s="60"/>
      <c r="AS330" s="60"/>
      <c r="AT330" s="60"/>
      <c r="AU330" s="60"/>
      <c r="AV330" s="60"/>
      <c r="AW330" s="60"/>
      <c r="AX330" s="60"/>
      <c r="AY330" s="60"/>
      <c r="AZ330" s="60"/>
    </row>
    <row r="331" ht="13.5" spans="1:52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 t="s">
        <v>38</v>
      </c>
      <c r="AK331" s="60" t="s">
        <v>38</v>
      </c>
      <c r="AL331" s="60" t="s">
        <v>97</v>
      </c>
      <c r="AM331" s="60" t="s">
        <v>96</v>
      </c>
      <c r="AN331" s="60" t="s">
        <v>906</v>
      </c>
      <c r="AO331" s="60" t="s">
        <v>907</v>
      </c>
      <c r="AP331" s="60"/>
      <c r="AQ331" s="60"/>
      <c r="AR331" s="60"/>
      <c r="AS331" s="60"/>
      <c r="AT331" s="60"/>
      <c r="AU331" s="60"/>
      <c r="AV331" s="60"/>
      <c r="AW331" s="60"/>
      <c r="AX331" s="60"/>
      <c r="AY331" s="60"/>
      <c r="AZ331" s="60"/>
    </row>
    <row r="332" ht="13.5" spans="1:52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 t="s">
        <v>20</v>
      </c>
      <c r="L332" s="60"/>
      <c r="M332" s="60" t="s">
        <v>908</v>
      </c>
      <c r="N332" s="60"/>
      <c r="O332" s="60" t="s">
        <v>28</v>
      </c>
      <c r="P332" s="60"/>
      <c r="Q332" s="60" t="s">
        <v>32</v>
      </c>
      <c r="R332" s="60"/>
      <c r="S332" s="60" t="s">
        <v>35</v>
      </c>
      <c r="T332" s="60"/>
      <c r="U332" s="60" t="s">
        <v>42</v>
      </c>
      <c r="V332" s="60"/>
      <c r="W332" s="60" t="s">
        <v>38</v>
      </c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 t="s">
        <v>909</v>
      </c>
      <c r="AJ332" s="60">
        <f>IF(AJ328&gt;=4,1215,0)</f>
        <v>0</v>
      </c>
      <c r="AK332" s="60">
        <f>IF(AK328&gt;=4,1363,0)</f>
        <v>0</v>
      </c>
      <c r="AL332" s="72">
        <f>IF(AL328&gt;=4,4%,0)</f>
        <v>0</v>
      </c>
      <c r="AM332" s="72">
        <f>IF(AM328&gt;=4,10%,0)</f>
        <v>0.1</v>
      </c>
      <c r="AN332" s="60">
        <f>IF(AN328=2,1,0)</f>
        <v>1</v>
      </c>
      <c r="AO332" s="60">
        <f>IF(AO328=2,1,0)</f>
        <v>1</v>
      </c>
      <c r="AP332" s="60"/>
      <c r="AQ332" s="60"/>
      <c r="AR332" s="60"/>
      <c r="AS332" s="60"/>
      <c r="AT332" s="60"/>
      <c r="AU332" s="60"/>
      <c r="AV332" s="60"/>
      <c r="AW332" s="60"/>
      <c r="AX332" s="60"/>
      <c r="AY332" s="60"/>
      <c r="AZ332" s="60"/>
    </row>
    <row r="333" ht="13.5" spans="1:52">
      <c r="A333" s="60"/>
      <c r="B333" s="60"/>
      <c r="C333" s="60"/>
      <c r="D333" s="60"/>
      <c r="E333" s="60" t="s">
        <v>910</v>
      </c>
      <c r="F333" s="60"/>
      <c r="G333" s="60"/>
      <c r="H333" s="60"/>
      <c r="I333" s="60"/>
      <c r="J333" s="60"/>
      <c r="K333" s="60">
        <f>N330+3732</f>
        <v>33166</v>
      </c>
      <c r="L333" s="60"/>
      <c r="M333" s="60">
        <f>INT(N330+INT(L330*1.75))+3732</f>
        <v>44719</v>
      </c>
      <c r="N333" s="60"/>
      <c r="O333" s="60">
        <f>P330/78622.5</f>
        <v>0.357009761836624</v>
      </c>
      <c r="P333" s="60"/>
      <c r="Q333" s="60">
        <f>R330/27513.75+175%</f>
        <v>2.02200944982054</v>
      </c>
      <c r="R333" s="60"/>
      <c r="S333" s="60">
        <f>T330/78622.5</f>
        <v>0.435371553944482</v>
      </c>
      <c r="T333" s="60"/>
      <c r="U333" s="60">
        <f>V330</f>
        <v>21163</v>
      </c>
      <c r="V333" s="60"/>
      <c r="W333" s="60">
        <f>X330/75809.25</f>
        <v>0.336726718705171</v>
      </c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60"/>
      <c r="AU333" s="60"/>
      <c r="AV333" s="60"/>
      <c r="AW333" s="60"/>
      <c r="AX333" s="60"/>
      <c r="AY333" s="60"/>
      <c r="AZ333" s="60"/>
    </row>
    <row r="334" ht="13.5" spans="1:52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>
        <f>INT(N330+INT(L330*1792/1024))</f>
        <v>40987</v>
      </c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60"/>
      <c r="AV334" s="60"/>
      <c r="AW334" s="60"/>
      <c r="AX334" s="60"/>
      <c r="AY334" s="60"/>
      <c r="AZ334" s="60"/>
    </row>
    <row r="335" ht="13.5" spans="1:52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60"/>
      <c r="AU335" s="60"/>
      <c r="AV335" s="60"/>
      <c r="AW335" s="60"/>
      <c r="AX335" s="60"/>
      <c r="AY335" s="60"/>
      <c r="AZ335" s="60"/>
    </row>
    <row r="336" ht="13.5" spans="1:52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 t="s">
        <v>911</v>
      </c>
      <c r="L336" s="60"/>
      <c r="M336" s="60" t="b">
        <f>IF(COUNTIF(按提示输入属性!D21,K336)&gt;0,TRUE,FALSE)</f>
        <v>0</v>
      </c>
      <c r="N336" s="60"/>
      <c r="O336" s="60">
        <v>1</v>
      </c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 t="s">
        <v>912</v>
      </c>
      <c r="AB336" s="60">
        <v>42</v>
      </c>
      <c r="AC336" s="60">
        <v>100</v>
      </c>
      <c r="AD336" s="60">
        <v>188</v>
      </c>
      <c r="AE336" s="60">
        <v>188</v>
      </c>
      <c r="AF336" s="60">
        <v>188</v>
      </c>
      <c r="AG336" s="60">
        <v>188</v>
      </c>
      <c r="AH336" s="60">
        <v>188</v>
      </c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60"/>
      <c r="AV336" s="60"/>
      <c r="AW336" s="60"/>
      <c r="AX336" s="60"/>
      <c r="AY336" s="60"/>
      <c r="AZ336" s="60"/>
    </row>
    <row r="337" ht="13.5" spans="1:52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 t="s">
        <v>913</v>
      </c>
      <c r="L337" s="60"/>
      <c r="M337" s="60" t="b">
        <f>IF(COUNTIF(按提示输入属性!D21,K337)&gt;0,TRUE,FALSE)</f>
        <v>0</v>
      </c>
      <c r="N337" s="60"/>
      <c r="O337" s="60"/>
      <c r="P337" s="60"/>
      <c r="Q337" s="60">
        <v>1</v>
      </c>
      <c r="R337" s="60"/>
      <c r="S337" s="60"/>
      <c r="T337" s="60"/>
      <c r="U337" s="60"/>
      <c r="V337" s="60"/>
      <c r="W337" s="60"/>
      <c r="X337" s="60"/>
      <c r="Y337" s="60"/>
      <c r="Z337" s="60"/>
      <c r="AA337" s="60" t="s">
        <v>914</v>
      </c>
      <c r="AB337" s="60">
        <v>63</v>
      </c>
      <c r="AC337" s="60">
        <v>150</v>
      </c>
      <c r="AD337" s="60">
        <v>282</v>
      </c>
      <c r="AE337" s="60">
        <v>282</v>
      </c>
      <c r="AF337" s="60">
        <v>282</v>
      </c>
      <c r="AG337" s="60">
        <v>282</v>
      </c>
      <c r="AH337" s="60">
        <v>282</v>
      </c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60"/>
      <c r="AV337" s="60"/>
      <c r="AW337" s="60"/>
      <c r="AX337" s="60"/>
      <c r="AY337" s="60"/>
      <c r="AZ337" s="60"/>
    </row>
    <row r="338" ht="13.5" spans="1:52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 t="s">
        <v>61</v>
      </c>
      <c r="L338" s="60"/>
      <c r="M338" s="60" t="b">
        <f>IF(COUNTIF(按提示输入属性!D21,K338)&gt;0,TRUE,FALSE)</f>
        <v>1</v>
      </c>
      <c r="N338" s="60"/>
      <c r="O338" s="60"/>
      <c r="P338" s="60"/>
      <c r="Q338" s="60"/>
      <c r="R338" s="60"/>
      <c r="S338" s="60">
        <v>1</v>
      </c>
      <c r="T338" s="60"/>
      <c r="U338" s="60"/>
      <c r="V338" s="60"/>
      <c r="W338" s="60"/>
      <c r="X338" s="60"/>
      <c r="Y338" s="60"/>
      <c r="Z338" s="60"/>
      <c r="AA338" s="60" t="s">
        <v>915</v>
      </c>
      <c r="AB338" s="60">
        <v>93</v>
      </c>
      <c r="AC338" s="60">
        <v>223</v>
      </c>
      <c r="AD338" s="60">
        <v>418</v>
      </c>
      <c r="AE338" s="60">
        <v>418</v>
      </c>
      <c r="AF338" s="60">
        <v>418</v>
      </c>
      <c r="AG338" s="60">
        <v>418</v>
      </c>
      <c r="AH338" s="60">
        <v>418</v>
      </c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0"/>
      <c r="AV338" s="60"/>
      <c r="AW338" s="60"/>
      <c r="AX338" s="60"/>
      <c r="AY338" s="60"/>
      <c r="AZ338" s="60"/>
    </row>
    <row r="339" ht="13.5" spans="1:52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>
        <f t="shared" ref="O339:S339" si="1">SUMIFS(O336:O338,O336:O338,"&gt;0",$M$336:$M$338,TRUE)</f>
        <v>0</v>
      </c>
      <c r="P339" s="60"/>
      <c r="Q339" s="60">
        <f t="shared" si="1"/>
        <v>0</v>
      </c>
      <c r="R339" s="60"/>
      <c r="S339" s="60">
        <f t="shared" si="1"/>
        <v>1</v>
      </c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60"/>
      <c r="AV339" s="60"/>
      <c r="AW339" s="60"/>
      <c r="AX339" s="60"/>
      <c r="AY339" s="60"/>
      <c r="AZ339" s="60"/>
    </row>
    <row r="340" ht="13.5" spans="1:52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  <c r="AU340" s="60"/>
      <c r="AV340" s="60"/>
      <c r="AW340" s="60"/>
      <c r="AX340" s="60"/>
      <c r="AY340" s="60"/>
      <c r="AZ340" s="60"/>
    </row>
    <row r="341" ht="13.5" spans="1:52">
      <c r="A341" s="60"/>
      <c r="B341" s="60"/>
      <c r="C341" s="60"/>
      <c r="D341" s="60"/>
      <c r="E341" s="60" t="s">
        <v>916</v>
      </c>
      <c r="F341" s="60">
        <v>1.12407</v>
      </c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0"/>
      <c r="AV341" s="60"/>
      <c r="AW341" s="60"/>
      <c r="AX341" s="60"/>
      <c r="AY341" s="60"/>
      <c r="AZ341" s="60"/>
    </row>
    <row r="342" ht="13.5" spans="1:52">
      <c r="A342" s="60"/>
      <c r="B342" s="60"/>
      <c r="C342" s="60"/>
      <c r="D342" s="60"/>
      <c r="E342" s="60" t="s">
        <v>917</v>
      </c>
      <c r="F342" s="60">
        <v>1.07524</v>
      </c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60"/>
      <c r="AV342" s="60"/>
      <c r="AW342" s="60"/>
      <c r="AX342" s="60"/>
      <c r="AY342" s="60"/>
      <c r="AZ342" s="60"/>
    </row>
    <row r="343" ht="13.5" spans="1:52">
      <c r="A343" s="60"/>
      <c r="B343" s="60"/>
      <c r="C343" s="60"/>
      <c r="D343" s="60"/>
      <c r="E343" s="60" t="s">
        <v>918</v>
      </c>
      <c r="F343" s="60">
        <v>1.03805</v>
      </c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60"/>
      <c r="AV343" s="60"/>
      <c r="AW343" s="60"/>
      <c r="AX343" s="60"/>
      <c r="AY343" s="60"/>
      <c r="AZ343" s="60"/>
    </row>
    <row r="344" ht="13.5" spans="1:52">
      <c r="A344" s="60"/>
      <c r="B344" s="60"/>
      <c r="C344" s="60"/>
      <c r="D344" s="60"/>
      <c r="E344" s="60" t="s">
        <v>919</v>
      </c>
      <c r="F344" s="60">
        <v>1.02412</v>
      </c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60"/>
      <c r="AV344" s="60"/>
      <c r="AW344" s="60"/>
      <c r="AX344" s="60"/>
      <c r="AY344" s="60"/>
      <c r="AZ344" s="60"/>
    </row>
    <row r="345" ht="13.5" spans="1:52">
      <c r="A345" s="60"/>
      <c r="B345" s="60"/>
      <c r="C345" s="60"/>
      <c r="D345" s="60"/>
      <c r="E345" s="60" t="s">
        <v>920</v>
      </c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0"/>
      <c r="AV345" s="60"/>
      <c r="AW345" s="60"/>
      <c r="AX345" s="60"/>
      <c r="AY345" s="60"/>
      <c r="AZ345" s="60"/>
    </row>
    <row r="346" ht="13.5" spans="1:52">
      <c r="A346" s="60"/>
      <c r="B346" s="60"/>
      <c r="C346" s="60"/>
      <c r="D346" s="60"/>
      <c r="E346" s="60" t="s">
        <v>921</v>
      </c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0"/>
      <c r="AV346" s="60"/>
      <c r="AW346" s="60"/>
      <c r="AX346" s="60"/>
      <c r="AY346" s="60"/>
      <c r="AZ346" s="60"/>
    </row>
    <row r="347" ht="13.5" spans="1:52">
      <c r="A347" s="60"/>
      <c r="B347" s="60"/>
      <c r="C347" s="60"/>
      <c r="D347" s="60"/>
      <c r="E347" s="60" t="s">
        <v>922</v>
      </c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0"/>
      <c r="AV347" s="60"/>
      <c r="AW347" s="60"/>
      <c r="AX347" s="60"/>
      <c r="AY347" s="60"/>
      <c r="AZ347" s="60"/>
    </row>
    <row r="348" ht="13.5" spans="1:52">
      <c r="A348" s="60"/>
      <c r="B348" s="60"/>
      <c r="C348" s="60"/>
      <c r="D348" s="60"/>
      <c r="E348" s="60" t="s">
        <v>923</v>
      </c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60"/>
      <c r="AV348" s="60"/>
      <c r="AW348" s="60"/>
      <c r="AX348" s="60"/>
      <c r="AY348" s="60"/>
      <c r="AZ348" s="60"/>
    </row>
    <row r="349" ht="13.5" spans="1:52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0"/>
      <c r="AV349" s="60"/>
      <c r="AW349" s="60"/>
      <c r="AX349" s="60"/>
      <c r="AY349" s="60"/>
      <c r="AZ349" s="60"/>
    </row>
    <row r="350" ht="13.5" spans="1:52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60"/>
      <c r="AV350" s="60"/>
      <c r="AW350" s="60"/>
      <c r="AX350" s="60"/>
      <c r="AY350" s="60"/>
      <c r="AZ350" s="60"/>
    </row>
    <row r="351" ht="13.5" spans="1:52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0"/>
      <c r="AV351" s="60"/>
      <c r="AW351" s="60"/>
      <c r="AX351" s="60"/>
      <c r="AY351" s="60"/>
      <c r="AZ351" s="60"/>
    </row>
    <row r="352" ht="13.5" spans="1:52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60"/>
      <c r="AV352" s="60"/>
      <c r="AW352" s="60"/>
      <c r="AX352" s="60"/>
      <c r="AY352" s="60"/>
      <c r="AZ352" s="60"/>
    </row>
    <row r="353" ht="13.5" spans="1:52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60"/>
      <c r="AV353" s="60"/>
      <c r="AW353" s="60"/>
      <c r="AX353" s="60"/>
      <c r="AY353" s="60"/>
      <c r="AZ353" s="60"/>
    </row>
    <row r="354" ht="13.5" spans="1:52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60"/>
      <c r="AU354" s="60"/>
      <c r="AV354" s="60"/>
      <c r="AW354" s="60"/>
      <c r="AX354" s="60"/>
      <c r="AY354" s="60"/>
      <c r="AZ354" s="60"/>
    </row>
    <row r="355" ht="13.5" spans="1:52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60"/>
      <c r="AU355" s="60"/>
      <c r="AV355" s="60"/>
      <c r="AW355" s="60"/>
      <c r="AX355" s="60"/>
      <c r="AY355" s="60"/>
      <c r="AZ355" s="60"/>
    </row>
    <row r="356" ht="13.5" spans="1:52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60"/>
      <c r="AU356" s="60"/>
      <c r="AV356" s="60"/>
      <c r="AW356" s="60"/>
      <c r="AX356" s="60"/>
      <c r="AY356" s="60"/>
      <c r="AZ356" s="60"/>
    </row>
    <row r="357" ht="13.5" spans="1:52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60"/>
      <c r="AU357" s="60"/>
      <c r="AV357" s="60"/>
      <c r="AW357" s="60"/>
      <c r="AX357" s="60"/>
      <c r="AY357" s="60"/>
      <c r="AZ357" s="60"/>
    </row>
    <row r="358" ht="13.5" spans="1:52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  <c r="AU358" s="60"/>
      <c r="AV358" s="60"/>
      <c r="AW358" s="60"/>
      <c r="AX358" s="60"/>
      <c r="AY358" s="60"/>
      <c r="AZ358" s="60"/>
    </row>
    <row r="359" ht="13.5" spans="1:52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60"/>
      <c r="AU359" s="60"/>
      <c r="AV359" s="60"/>
      <c r="AW359" s="60"/>
      <c r="AX359" s="60"/>
      <c r="AY359" s="60"/>
      <c r="AZ359" s="60"/>
    </row>
    <row r="360" ht="13.5" spans="1:52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60"/>
      <c r="AU360" s="60"/>
      <c r="AV360" s="60"/>
      <c r="AW360" s="60"/>
      <c r="AX360" s="60"/>
      <c r="AY360" s="60"/>
      <c r="AZ360" s="60"/>
    </row>
    <row r="361" ht="13.5" spans="1:52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60"/>
      <c r="AU361" s="60"/>
      <c r="AV361" s="60"/>
      <c r="AW361" s="60"/>
      <c r="AX361" s="60"/>
      <c r="AY361" s="60"/>
      <c r="AZ361" s="60"/>
    </row>
    <row r="362" ht="13.5" spans="1:52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60"/>
      <c r="AU362" s="60"/>
      <c r="AV362" s="60"/>
      <c r="AW362" s="60"/>
      <c r="AX362" s="60"/>
      <c r="AY362" s="60"/>
      <c r="AZ362" s="60"/>
    </row>
    <row r="363" ht="13.5" spans="1:52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60"/>
      <c r="AU363" s="60"/>
      <c r="AV363" s="60"/>
      <c r="AW363" s="60"/>
      <c r="AX363" s="60"/>
      <c r="AY363" s="60"/>
      <c r="AZ363" s="60"/>
    </row>
    <row r="364" ht="13.5" spans="1:52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60"/>
      <c r="AU364" s="60"/>
      <c r="AV364" s="60"/>
      <c r="AW364" s="60"/>
      <c r="AX364" s="60"/>
      <c r="AY364" s="60"/>
      <c r="AZ364" s="60"/>
    </row>
    <row r="365" ht="13.5" spans="1:52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60"/>
      <c r="AU365" s="60"/>
      <c r="AV365" s="60"/>
      <c r="AW365" s="60"/>
      <c r="AX365" s="60"/>
      <c r="AY365" s="60"/>
      <c r="AZ365" s="60"/>
    </row>
    <row r="366" ht="13.5" spans="1:52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  <c r="AS366" s="60"/>
      <c r="AT366" s="60"/>
      <c r="AU366" s="60"/>
      <c r="AV366" s="60"/>
      <c r="AW366" s="60"/>
      <c r="AX366" s="60"/>
      <c r="AY366" s="60"/>
      <c r="AZ366" s="60"/>
    </row>
    <row r="367" ht="13.5" spans="1:52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60"/>
      <c r="AU367" s="60"/>
      <c r="AV367" s="60"/>
      <c r="AW367" s="60"/>
      <c r="AX367" s="60"/>
      <c r="AY367" s="60"/>
      <c r="AZ367" s="60"/>
    </row>
    <row r="368" ht="13.5" spans="1:52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60"/>
      <c r="AU368" s="60"/>
      <c r="AV368" s="60"/>
      <c r="AW368" s="60"/>
      <c r="AX368" s="60"/>
      <c r="AY368" s="60"/>
      <c r="AZ368" s="60"/>
    </row>
    <row r="369" ht="13.5" spans="1:52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60"/>
      <c r="AU369" s="60"/>
      <c r="AV369" s="60"/>
      <c r="AW369" s="60"/>
      <c r="AX369" s="60"/>
      <c r="AY369" s="60"/>
      <c r="AZ369" s="60"/>
    </row>
    <row r="370" ht="13.5" spans="1:52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60"/>
      <c r="AV370" s="60"/>
      <c r="AW370" s="60"/>
      <c r="AX370" s="60"/>
      <c r="AY370" s="60"/>
      <c r="AZ370" s="60"/>
    </row>
    <row r="371" ht="13.5" spans="1:52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60"/>
      <c r="AV371" s="60"/>
      <c r="AW371" s="60"/>
      <c r="AX371" s="60"/>
      <c r="AY371" s="60"/>
      <c r="AZ371" s="60"/>
    </row>
    <row r="372" ht="13.5" spans="1:52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60"/>
      <c r="AU372" s="60"/>
      <c r="AV372" s="60"/>
      <c r="AW372" s="60"/>
      <c r="AX372" s="60"/>
      <c r="AY372" s="60"/>
      <c r="AZ372" s="60"/>
    </row>
    <row r="373" ht="13.5" spans="1:52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60"/>
      <c r="AU373" s="60"/>
      <c r="AV373" s="60"/>
      <c r="AW373" s="60"/>
      <c r="AX373" s="60"/>
      <c r="AY373" s="60"/>
      <c r="AZ373" s="60"/>
    </row>
    <row r="374" ht="13.5" spans="1:52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60"/>
      <c r="AU374" s="60"/>
      <c r="AV374" s="60"/>
      <c r="AW374" s="60"/>
      <c r="AX374" s="60"/>
      <c r="AY374" s="60"/>
      <c r="AZ374" s="60"/>
    </row>
    <row r="375" ht="13.5" spans="1:52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60"/>
      <c r="AU375" s="60"/>
      <c r="AV375" s="60"/>
      <c r="AW375" s="60"/>
      <c r="AX375" s="60"/>
      <c r="AY375" s="60"/>
      <c r="AZ375" s="60"/>
    </row>
    <row r="376" ht="13.5" spans="1:52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60"/>
      <c r="AU376" s="60"/>
      <c r="AV376" s="60"/>
      <c r="AW376" s="60"/>
      <c r="AX376" s="60"/>
      <c r="AY376" s="60"/>
      <c r="AZ376" s="60"/>
    </row>
    <row r="377" ht="13.5" spans="1:52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60"/>
      <c r="AU377" s="60"/>
      <c r="AV377" s="60"/>
      <c r="AW377" s="60"/>
      <c r="AX377" s="60"/>
      <c r="AY377" s="60"/>
      <c r="AZ377" s="60"/>
    </row>
    <row r="378" ht="13.5" spans="1:52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60"/>
      <c r="AT378" s="60"/>
      <c r="AU378" s="60"/>
      <c r="AV378" s="60"/>
      <c r="AW378" s="60"/>
      <c r="AX378" s="60"/>
      <c r="AY378" s="60"/>
      <c r="AZ378" s="60"/>
    </row>
    <row r="379" ht="13.5" spans="1:52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60"/>
      <c r="AU379" s="60"/>
      <c r="AV379" s="60"/>
      <c r="AW379" s="60"/>
      <c r="AX379" s="60"/>
      <c r="AY379" s="60"/>
      <c r="AZ379" s="60"/>
    </row>
    <row r="380" ht="13.5" spans="1:52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60"/>
      <c r="AT380" s="60"/>
      <c r="AU380" s="60"/>
      <c r="AV380" s="60"/>
      <c r="AW380" s="60"/>
      <c r="AX380" s="60"/>
      <c r="AY380" s="60"/>
      <c r="AZ380" s="60"/>
    </row>
    <row r="381" ht="13.5" spans="1:52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60"/>
      <c r="AU381" s="60"/>
      <c r="AV381" s="60"/>
      <c r="AW381" s="60"/>
      <c r="AX381" s="60"/>
      <c r="AY381" s="60"/>
      <c r="AZ381" s="60"/>
    </row>
    <row r="382" ht="13.5" spans="1:52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60"/>
      <c r="AU382" s="60"/>
      <c r="AV382" s="60"/>
      <c r="AW382" s="60"/>
      <c r="AX382" s="60"/>
      <c r="AY382" s="60"/>
      <c r="AZ382" s="60"/>
    </row>
    <row r="383" ht="13.5" spans="1:52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60"/>
      <c r="AU383" s="60"/>
      <c r="AV383" s="60"/>
      <c r="AW383" s="60"/>
      <c r="AX383" s="60"/>
      <c r="AY383" s="60"/>
      <c r="AZ383" s="60"/>
    </row>
    <row r="384" ht="13.5" spans="1:52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60"/>
      <c r="AT384" s="60"/>
      <c r="AU384" s="60"/>
      <c r="AV384" s="60"/>
      <c r="AW384" s="60"/>
      <c r="AX384" s="60"/>
      <c r="AY384" s="60"/>
      <c r="AZ384" s="60"/>
    </row>
    <row r="385" ht="13.5" spans="1:52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60"/>
      <c r="AU385" s="60"/>
      <c r="AV385" s="60"/>
      <c r="AW385" s="60"/>
      <c r="AX385" s="60"/>
      <c r="AY385" s="60"/>
      <c r="AZ385" s="60"/>
    </row>
    <row r="386" ht="13.5" spans="1:52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60"/>
      <c r="AT386" s="60"/>
      <c r="AU386" s="60"/>
      <c r="AV386" s="60"/>
      <c r="AW386" s="60"/>
      <c r="AX386" s="60"/>
      <c r="AY386" s="60"/>
      <c r="AZ386" s="60"/>
    </row>
    <row r="387" ht="13.5" spans="1:52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60"/>
      <c r="AU387" s="60"/>
      <c r="AV387" s="60"/>
      <c r="AW387" s="60"/>
      <c r="AX387" s="60"/>
      <c r="AY387" s="60"/>
      <c r="AZ387" s="60"/>
    </row>
    <row r="388" ht="13.5" spans="1:52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60"/>
      <c r="AU388" s="60"/>
      <c r="AV388" s="60"/>
      <c r="AW388" s="60"/>
      <c r="AX388" s="60"/>
      <c r="AY388" s="60"/>
      <c r="AZ388" s="60"/>
    </row>
    <row r="389" ht="13.5" spans="1:52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60"/>
      <c r="AU389" s="60"/>
      <c r="AV389" s="60"/>
      <c r="AW389" s="60"/>
      <c r="AX389" s="60"/>
      <c r="AY389" s="60"/>
      <c r="AZ389" s="60"/>
    </row>
    <row r="390" ht="13.5" spans="1:52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60"/>
      <c r="AT390" s="60"/>
      <c r="AU390" s="60"/>
      <c r="AV390" s="60"/>
      <c r="AW390" s="60"/>
      <c r="AX390" s="60"/>
      <c r="AY390" s="60"/>
      <c r="AZ390" s="60"/>
    </row>
    <row r="391" ht="13.5" spans="1:52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60"/>
      <c r="AU391" s="60"/>
      <c r="AV391" s="60"/>
      <c r="AW391" s="60"/>
      <c r="AX391" s="60"/>
      <c r="AY391" s="60"/>
      <c r="AZ391" s="60"/>
    </row>
    <row r="392" ht="13.5" spans="1:52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60"/>
      <c r="AU392" s="60"/>
      <c r="AV392" s="60"/>
      <c r="AW392" s="60"/>
      <c r="AX392" s="60"/>
      <c r="AY392" s="60"/>
      <c r="AZ392" s="60"/>
    </row>
    <row r="393" ht="13.5" spans="1:52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60"/>
      <c r="AU393" s="60"/>
      <c r="AV393" s="60"/>
      <c r="AW393" s="60"/>
      <c r="AX393" s="60"/>
      <c r="AY393" s="60"/>
      <c r="AZ393" s="60"/>
    </row>
    <row r="394" ht="13.5" spans="1:52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  <c r="AQ394" s="60"/>
      <c r="AR394" s="60"/>
      <c r="AS394" s="60"/>
      <c r="AT394" s="60"/>
      <c r="AU394" s="60"/>
      <c r="AV394" s="60"/>
      <c r="AW394" s="60"/>
      <c r="AX394" s="60"/>
      <c r="AY394" s="60"/>
      <c r="AZ394" s="60"/>
    </row>
    <row r="395" ht="13.5" spans="1:52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  <c r="AQ395" s="60"/>
      <c r="AR395" s="60"/>
      <c r="AS395" s="60"/>
      <c r="AT395" s="60"/>
      <c r="AU395" s="60"/>
      <c r="AV395" s="60"/>
      <c r="AW395" s="60"/>
      <c r="AX395" s="60"/>
      <c r="AY395" s="60"/>
      <c r="AZ395" s="60"/>
    </row>
    <row r="396" ht="13.5" spans="1:52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  <c r="AQ396" s="60"/>
      <c r="AR396" s="60"/>
      <c r="AS396" s="60"/>
      <c r="AT396" s="60"/>
      <c r="AU396" s="60"/>
      <c r="AV396" s="60"/>
      <c r="AW396" s="60"/>
      <c r="AX396" s="60"/>
      <c r="AY396" s="60"/>
      <c r="AZ396" s="60"/>
    </row>
    <row r="397" ht="13.5" spans="1:52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  <c r="AQ397" s="60"/>
      <c r="AR397" s="60"/>
      <c r="AS397" s="60"/>
      <c r="AT397" s="60"/>
      <c r="AU397" s="60"/>
      <c r="AV397" s="60"/>
      <c r="AW397" s="60"/>
      <c r="AX397" s="60"/>
      <c r="AY397" s="60"/>
      <c r="AZ397" s="60"/>
    </row>
    <row r="398" ht="13.5" spans="1:52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  <c r="AQ398" s="60"/>
      <c r="AR398" s="60"/>
      <c r="AS398" s="60"/>
      <c r="AT398" s="60"/>
      <c r="AU398" s="60"/>
      <c r="AV398" s="60"/>
      <c r="AW398" s="60"/>
      <c r="AX398" s="60"/>
      <c r="AY398" s="60"/>
      <c r="AZ398" s="60"/>
    </row>
    <row r="399" ht="13.5" spans="1:52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  <c r="AQ399" s="60"/>
      <c r="AR399" s="60"/>
      <c r="AS399" s="60"/>
      <c r="AT399" s="60"/>
      <c r="AU399" s="60"/>
      <c r="AV399" s="60"/>
      <c r="AW399" s="60"/>
      <c r="AX399" s="60"/>
      <c r="AY399" s="60"/>
      <c r="AZ399" s="60"/>
    </row>
    <row r="400" ht="13.5" spans="1:52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  <c r="AQ400" s="60"/>
      <c r="AR400" s="60"/>
      <c r="AS400" s="60"/>
      <c r="AT400" s="60"/>
      <c r="AU400" s="60"/>
      <c r="AV400" s="60"/>
      <c r="AW400" s="60"/>
      <c r="AX400" s="60"/>
      <c r="AY400" s="60"/>
      <c r="AZ400" s="60"/>
    </row>
    <row r="401" ht="13.5" spans="1:52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  <c r="AQ401" s="60"/>
      <c r="AR401" s="60"/>
      <c r="AS401" s="60"/>
      <c r="AT401" s="60"/>
      <c r="AU401" s="60"/>
      <c r="AV401" s="60"/>
      <c r="AW401" s="60"/>
      <c r="AX401" s="60"/>
      <c r="AY401" s="60"/>
      <c r="AZ401" s="60"/>
    </row>
    <row r="402" ht="13.5" spans="1:52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  <c r="AQ402" s="60"/>
      <c r="AR402" s="60"/>
      <c r="AS402" s="60"/>
      <c r="AT402" s="60"/>
      <c r="AU402" s="60"/>
      <c r="AV402" s="60"/>
      <c r="AW402" s="60"/>
      <c r="AX402" s="60"/>
      <c r="AY402" s="60"/>
      <c r="AZ402" s="60"/>
    </row>
    <row r="403" ht="13.5" spans="1:52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  <c r="AQ403" s="60"/>
      <c r="AR403" s="60"/>
      <c r="AS403" s="60"/>
      <c r="AT403" s="60"/>
      <c r="AU403" s="60"/>
      <c r="AV403" s="60"/>
      <c r="AW403" s="60"/>
      <c r="AX403" s="60"/>
      <c r="AY403" s="60"/>
      <c r="AZ403" s="60"/>
    </row>
    <row r="404" ht="13.5" spans="1:52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  <c r="AQ404" s="60"/>
      <c r="AR404" s="60"/>
      <c r="AS404" s="60"/>
      <c r="AT404" s="60"/>
      <c r="AU404" s="60"/>
      <c r="AV404" s="60"/>
      <c r="AW404" s="60"/>
      <c r="AX404" s="60"/>
      <c r="AY404" s="60"/>
      <c r="AZ404" s="60"/>
    </row>
    <row r="405" ht="13.5" spans="1:52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  <c r="AS405" s="60"/>
      <c r="AT405" s="60"/>
      <c r="AU405" s="60"/>
      <c r="AV405" s="60"/>
      <c r="AW405" s="60"/>
      <c r="AX405" s="60"/>
      <c r="AY405" s="60"/>
      <c r="AZ405" s="60"/>
    </row>
    <row r="406" ht="13.5" spans="1:52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  <c r="AQ406" s="60"/>
      <c r="AR406" s="60"/>
      <c r="AS406" s="60"/>
      <c r="AT406" s="60"/>
      <c r="AU406" s="60"/>
      <c r="AV406" s="60"/>
      <c r="AW406" s="60"/>
      <c r="AX406" s="60"/>
      <c r="AY406" s="60"/>
      <c r="AZ406" s="60"/>
    </row>
    <row r="407" ht="13.5" spans="1:52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  <c r="AQ407" s="60"/>
      <c r="AR407" s="60"/>
      <c r="AS407" s="60"/>
      <c r="AT407" s="60"/>
      <c r="AU407" s="60"/>
      <c r="AV407" s="60"/>
      <c r="AW407" s="60"/>
      <c r="AX407" s="60"/>
      <c r="AY407" s="60"/>
      <c r="AZ407" s="60"/>
    </row>
    <row r="408" ht="13.5" spans="1:52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  <c r="AQ408" s="60"/>
      <c r="AR408" s="60"/>
      <c r="AS408" s="60"/>
      <c r="AT408" s="60"/>
      <c r="AU408" s="60"/>
      <c r="AV408" s="60"/>
      <c r="AW408" s="60"/>
      <c r="AX408" s="60"/>
      <c r="AY408" s="60"/>
      <c r="AZ408" s="60"/>
    </row>
    <row r="409" ht="13.5" spans="1:52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  <c r="AQ409" s="60"/>
      <c r="AR409" s="60"/>
      <c r="AS409" s="60"/>
      <c r="AT409" s="60"/>
      <c r="AU409" s="60"/>
      <c r="AV409" s="60"/>
      <c r="AW409" s="60"/>
      <c r="AX409" s="60"/>
      <c r="AY409" s="60"/>
      <c r="AZ409" s="60"/>
    </row>
    <row r="410" ht="13.5" spans="1:52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  <c r="AQ410" s="60"/>
      <c r="AR410" s="60"/>
      <c r="AS410" s="60"/>
      <c r="AT410" s="60"/>
      <c r="AU410" s="60"/>
      <c r="AV410" s="60"/>
      <c r="AW410" s="60"/>
      <c r="AX410" s="60"/>
      <c r="AY410" s="60"/>
      <c r="AZ410" s="60"/>
    </row>
    <row r="411" ht="13.5" spans="1:52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  <c r="AQ411" s="60"/>
      <c r="AR411" s="60"/>
      <c r="AS411" s="60"/>
      <c r="AT411" s="60"/>
      <c r="AU411" s="60"/>
      <c r="AV411" s="60"/>
      <c r="AW411" s="60"/>
      <c r="AX411" s="60"/>
      <c r="AY411" s="60"/>
      <c r="AZ411" s="60"/>
    </row>
    <row r="412" ht="13.5" spans="1:52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  <c r="AQ412" s="60"/>
      <c r="AR412" s="60"/>
      <c r="AS412" s="60"/>
      <c r="AT412" s="60"/>
      <c r="AU412" s="60"/>
      <c r="AV412" s="60"/>
      <c r="AW412" s="60"/>
      <c r="AX412" s="60"/>
      <c r="AY412" s="60"/>
      <c r="AZ412" s="60"/>
    </row>
    <row r="413" ht="13.5" spans="1:52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  <c r="AQ413" s="60"/>
      <c r="AR413" s="60"/>
      <c r="AS413" s="60"/>
      <c r="AT413" s="60"/>
      <c r="AU413" s="60"/>
      <c r="AV413" s="60"/>
      <c r="AW413" s="60"/>
      <c r="AX413" s="60"/>
      <c r="AY413" s="60"/>
      <c r="AZ413" s="60"/>
    </row>
    <row r="414" ht="13.5" spans="1:52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  <c r="AQ414" s="60"/>
      <c r="AR414" s="60"/>
      <c r="AS414" s="60"/>
      <c r="AT414" s="60"/>
      <c r="AU414" s="60"/>
      <c r="AV414" s="60"/>
      <c r="AW414" s="60"/>
      <c r="AX414" s="60"/>
      <c r="AY414" s="60"/>
      <c r="AZ414" s="60"/>
    </row>
    <row r="415" ht="13.5" spans="1:52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  <c r="AQ415" s="60"/>
      <c r="AR415" s="60"/>
      <c r="AS415" s="60"/>
      <c r="AT415" s="60"/>
      <c r="AU415" s="60"/>
      <c r="AV415" s="60"/>
      <c r="AW415" s="60"/>
      <c r="AX415" s="60"/>
      <c r="AY415" s="60"/>
      <c r="AZ415" s="60"/>
    </row>
    <row r="416" ht="13.5" spans="1:52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  <c r="AQ416" s="60"/>
      <c r="AR416" s="60"/>
      <c r="AS416" s="60"/>
      <c r="AT416" s="60"/>
      <c r="AU416" s="60"/>
      <c r="AV416" s="60"/>
      <c r="AW416" s="60"/>
      <c r="AX416" s="60"/>
      <c r="AY416" s="60"/>
      <c r="AZ416" s="60"/>
    </row>
    <row r="417" ht="13.5" spans="1:52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  <c r="AQ417" s="60"/>
      <c r="AR417" s="60"/>
      <c r="AS417" s="60"/>
      <c r="AT417" s="60"/>
      <c r="AU417" s="60"/>
      <c r="AV417" s="60"/>
      <c r="AW417" s="60"/>
      <c r="AX417" s="60"/>
      <c r="AY417" s="60"/>
      <c r="AZ417" s="60"/>
    </row>
    <row r="418" ht="13.5" spans="1:52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  <c r="AQ418" s="60"/>
      <c r="AR418" s="60"/>
      <c r="AS418" s="60"/>
      <c r="AT418" s="60"/>
      <c r="AU418" s="60"/>
      <c r="AV418" s="60"/>
      <c r="AW418" s="60"/>
      <c r="AX418" s="60"/>
      <c r="AY418" s="60"/>
      <c r="AZ418" s="60"/>
    </row>
    <row r="419" ht="13.5" spans="1:52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  <c r="AQ419" s="60"/>
      <c r="AR419" s="60"/>
      <c r="AS419" s="60"/>
      <c r="AT419" s="60"/>
      <c r="AU419" s="60"/>
      <c r="AV419" s="60"/>
      <c r="AW419" s="60"/>
      <c r="AX419" s="60"/>
      <c r="AY419" s="60"/>
      <c r="AZ419" s="60"/>
    </row>
    <row r="420" ht="13.5" spans="1:52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  <c r="AQ420" s="60"/>
      <c r="AR420" s="60"/>
      <c r="AS420" s="60"/>
      <c r="AT420" s="60"/>
      <c r="AU420" s="60"/>
      <c r="AV420" s="60"/>
      <c r="AW420" s="60"/>
      <c r="AX420" s="60"/>
      <c r="AY420" s="60"/>
      <c r="AZ420" s="60"/>
    </row>
    <row r="421" ht="13.5" spans="1:52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  <c r="AQ421" s="60"/>
      <c r="AR421" s="60"/>
      <c r="AS421" s="60"/>
      <c r="AT421" s="60"/>
      <c r="AU421" s="60"/>
      <c r="AV421" s="60"/>
      <c r="AW421" s="60"/>
      <c r="AX421" s="60"/>
      <c r="AY421" s="60"/>
      <c r="AZ421" s="60"/>
    </row>
    <row r="422" ht="13.5" spans="1:52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  <c r="AQ422" s="60"/>
      <c r="AR422" s="60"/>
      <c r="AS422" s="60"/>
      <c r="AT422" s="60"/>
      <c r="AU422" s="60"/>
      <c r="AV422" s="60"/>
      <c r="AW422" s="60"/>
      <c r="AX422" s="60"/>
      <c r="AY422" s="60"/>
      <c r="AZ422" s="60"/>
    </row>
    <row r="423" ht="13.5" spans="1:52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  <c r="AQ423" s="60"/>
      <c r="AR423" s="60"/>
      <c r="AS423" s="60"/>
      <c r="AT423" s="60"/>
      <c r="AU423" s="60"/>
      <c r="AV423" s="60"/>
      <c r="AW423" s="60"/>
      <c r="AX423" s="60"/>
      <c r="AY423" s="60"/>
      <c r="AZ423" s="60"/>
    </row>
    <row r="424" ht="13.5" spans="1:52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  <c r="AQ424" s="60"/>
      <c r="AR424" s="60"/>
      <c r="AS424" s="60"/>
      <c r="AT424" s="60"/>
      <c r="AU424" s="60"/>
      <c r="AV424" s="60"/>
      <c r="AW424" s="60"/>
      <c r="AX424" s="60"/>
      <c r="AY424" s="60"/>
      <c r="AZ424" s="60"/>
    </row>
    <row r="425" ht="13.5" spans="1:52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  <c r="AQ425" s="60"/>
      <c r="AR425" s="60"/>
      <c r="AS425" s="60"/>
      <c r="AT425" s="60"/>
      <c r="AU425" s="60"/>
      <c r="AV425" s="60"/>
      <c r="AW425" s="60"/>
      <c r="AX425" s="60"/>
      <c r="AY425" s="60"/>
      <c r="AZ425" s="60"/>
    </row>
    <row r="426" ht="13.5" spans="1:52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  <c r="AQ426" s="60"/>
      <c r="AR426" s="60"/>
      <c r="AS426" s="60"/>
      <c r="AT426" s="60"/>
      <c r="AU426" s="60"/>
      <c r="AV426" s="60"/>
      <c r="AW426" s="60"/>
      <c r="AX426" s="60"/>
      <c r="AY426" s="60"/>
      <c r="AZ426" s="60"/>
    </row>
    <row r="427" ht="13.5" spans="1:52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  <c r="AQ427" s="60"/>
      <c r="AR427" s="60"/>
      <c r="AS427" s="60"/>
      <c r="AT427" s="60"/>
      <c r="AU427" s="60"/>
      <c r="AV427" s="60"/>
      <c r="AW427" s="60"/>
      <c r="AX427" s="60"/>
      <c r="AY427" s="60"/>
      <c r="AZ427" s="60"/>
    </row>
    <row r="428" ht="13.5" spans="1:52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  <c r="AQ428" s="60"/>
      <c r="AR428" s="60"/>
      <c r="AS428" s="60"/>
      <c r="AT428" s="60"/>
      <c r="AU428" s="60"/>
      <c r="AV428" s="60"/>
      <c r="AW428" s="60"/>
      <c r="AX428" s="60"/>
      <c r="AY428" s="60"/>
      <c r="AZ428" s="60"/>
    </row>
    <row r="429" ht="13.5" spans="1:52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  <c r="AQ429" s="60"/>
      <c r="AR429" s="60"/>
      <c r="AS429" s="60"/>
      <c r="AT429" s="60"/>
      <c r="AU429" s="60"/>
      <c r="AV429" s="60"/>
      <c r="AW429" s="60"/>
      <c r="AX429" s="60"/>
      <c r="AY429" s="60"/>
      <c r="AZ429" s="60"/>
    </row>
    <row r="430" ht="13.5" spans="1:52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  <c r="AQ430" s="60"/>
      <c r="AR430" s="60"/>
      <c r="AS430" s="60"/>
      <c r="AT430" s="60"/>
      <c r="AU430" s="60"/>
      <c r="AV430" s="60"/>
      <c r="AW430" s="60"/>
      <c r="AX430" s="60"/>
      <c r="AY430" s="60"/>
      <c r="AZ430" s="60"/>
    </row>
    <row r="431" ht="13.5" spans="1:52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  <c r="AQ431" s="60"/>
      <c r="AR431" s="60"/>
      <c r="AS431" s="60"/>
      <c r="AT431" s="60"/>
      <c r="AU431" s="60"/>
      <c r="AV431" s="60"/>
      <c r="AW431" s="60"/>
      <c r="AX431" s="60"/>
      <c r="AY431" s="60"/>
      <c r="AZ431" s="60"/>
    </row>
    <row r="432" ht="13.5" spans="1:52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  <c r="AQ432" s="60"/>
      <c r="AR432" s="60"/>
      <c r="AS432" s="60"/>
      <c r="AT432" s="60"/>
      <c r="AU432" s="60"/>
      <c r="AV432" s="60"/>
      <c r="AW432" s="60"/>
      <c r="AX432" s="60"/>
      <c r="AY432" s="60"/>
      <c r="AZ432" s="60"/>
    </row>
    <row r="433" ht="13.5" spans="1:52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  <c r="AQ433" s="60"/>
      <c r="AR433" s="60"/>
      <c r="AS433" s="60"/>
      <c r="AT433" s="60"/>
      <c r="AU433" s="60"/>
      <c r="AV433" s="60"/>
      <c r="AW433" s="60"/>
      <c r="AX433" s="60"/>
      <c r="AY433" s="60"/>
      <c r="AZ433" s="60"/>
    </row>
    <row r="434" ht="13.5" spans="1:52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  <c r="AQ434" s="60"/>
      <c r="AR434" s="60"/>
      <c r="AS434" s="60"/>
      <c r="AT434" s="60"/>
      <c r="AU434" s="60"/>
      <c r="AV434" s="60"/>
      <c r="AW434" s="60"/>
      <c r="AX434" s="60"/>
      <c r="AY434" s="60"/>
      <c r="AZ434" s="60"/>
    </row>
    <row r="435" ht="13.5" spans="1:52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  <c r="AQ435" s="60"/>
      <c r="AR435" s="60"/>
      <c r="AS435" s="60"/>
      <c r="AT435" s="60"/>
      <c r="AU435" s="60"/>
      <c r="AV435" s="60"/>
      <c r="AW435" s="60"/>
      <c r="AX435" s="60"/>
      <c r="AY435" s="60"/>
      <c r="AZ435" s="60"/>
    </row>
    <row r="436" ht="13.5" spans="1:52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  <c r="AQ436" s="60"/>
      <c r="AR436" s="60"/>
      <c r="AS436" s="60"/>
      <c r="AT436" s="60"/>
      <c r="AU436" s="60"/>
      <c r="AV436" s="60"/>
      <c r="AW436" s="60"/>
      <c r="AX436" s="60"/>
      <c r="AY436" s="60"/>
      <c r="AZ436" s="60"/>
    </row>
    <row r="437" ht="13.5" spans="1:52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  <c r="AQ437" s="60"/>
      <c r="AR437" s="60"/>
      <c r="AS437" s="60"/>
      <c r="AT437" s="60"/>
      <c r="AU437" s="60"/>
      <c r="AV437" s="60"/>
      <c r="AW437" s="60"/>
      <c r="AX437" s="60"/>
      <c r="AY437" s="60"/>
      <c r="AZ437" s="60"/>
    </row>
    <row r="438" ht="13.5" spans="1:52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  <c r="AQ438" s="60"/>
      <c r="AR438" s="60"/>
      <c r="AS438" s="60"/>
      <c r="AT438" s="60"/>
      <c r="AU438" s="60"/>
      <c r="AV438" s="60"/>
      <c r="AW438" s="60"/>
      <c r="AX438" s="60"/>
      <c r="AY438" s="60"/>
      <c r="AZ438" s="60"/>
    </row>
    <row r="439" ht="13.5" spans="1:52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  <c r="AQ439" s="60"/>
      <c r="AR439" s="60"/>
      <c r="AS439" s="60"/>
      <c r="AT439" s="60"/>
      <c r="AU439" s="60"/>
      <c r="AV439" s="60"/>
      <c r="AW439" s="60"/>
      <c r="AX439" s="60"/>
      <c r="AY439" s="60"/>
      <c r="AZ439" s="60"/>
    </row>
    <row r="440" ht="13.5" spans="1:52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  <c r="AQ440" s="60"/>
      <c r="AR440" s="60"/>
      <c r="AS440" s="60"/>
      <c r="AT440" s="60"/>
      <c r="AU440" s="60"/>
      <c r="AV440" s="60"/>
      <c r="AW440" s="60"/>
      <c r="AX440" s="60"/>
      <c r="AY440" s="60"/>
      <c r="AZ440" s="60"/>
    </row>
    <row r="441" ht="13.5" spans="1:52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  <c r="AQ441" s="60"/>
      <c r="AR441" s="60"/>
      <c r="AS441" s="60"/>
      <c r="AT441" s="60"/>
      <c r="AU441" s="60"/>
      <c r="AV441" s="60"/>
      <c r="AW441" s="60"/>
      <c r="AX441" s="60"/>
      <c r="AY441" s="60"/>
      <c r="AZ441" s="60"/>
    </row>
    <row r="442" ht="13.5" spans="1:52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  <c r="AQ442" s="60"/>
      <c r="AR442" s="60"/>
      <c r="AS442" s="60"/>
      <c r="AT442" s="60"/>
      <c r="AU442" s="60"/>
      <c r="AV442" s="60"/>
      <c r="AW442" s="60"/>
      <c r="AX442" s="60"/>
      <c r="AY442" s="60"/>
      <c r="AZ442" s="60"/>
    </row>
    <row r="443" ht="13.5" spans="1:52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  <c r="AQ443" s="60"/>
      <c r="AR443" s="60"/>
      <c r="AS443" s="60"/>
      <c r="AT443" s="60"/>
      <c r="AU443" s="60"/>
      <c r="AV443" s="60"/>
      <c r="AW443" s="60"/>
      <c r="AX443" s="60"/>
      <c r="AY443" s="60"/>
      <c r="AZ443" s="60"/>
    </row>
    <row r="444" ht="13.5" spans="1:52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  <c r="AQ444" s="60"/>
      <c r="AR444" s="60"/>
      <c r="AS444" s="60"/>
      <c r="AT444" s="60"/>
      <c r="AU444" s="60"/>
      <c r="AV444" s="60"/>
      <c r="AW444" s="60"/>
      <c r="AX444" s="60"/>
      <c r="AY444" s="60"/>
      <c r="AZ444" s="60"/>
    </row>
    <row r="445" ht="13.5" spans="1:52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  <c r="AQ445" s="60"/>
      <c r="AR445" s="60"/>
      <c r="AS445" s="60"/>
      <c r="AT445" s="60"/>
      <c r="AU445" s="60"/>
      <c r="AV445" s="60"/>
      <c r="AW445" s="60"/>
      <c r="AX445" s="60"/>
      <c r="AY445" s="60"/>
      <c r="AZ445" s="60"/>
    </row>
    <row r="446" ht="13.5" spans="1:52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  <c r="AQ446" s="60"/>
      <c r="AR446" s="60"/>
      <c r="AS446" s="60"/>
      <c r="AT446" s="60"/>
      <c r="AU446" s="60"/>
      <c r="AV446" s="60"/>
      <c r="AW446" s="60"/>
      <c r="AX446" s="60"/>
      <c r="AY446" s="60"/>
      <c r="AZ446" s="60"/>
    </row>
    <row r="447" ht="13.5" spans="1:52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  <c r="AQ447" s="60"/>
      <c r="AR447" s="60"/>
      <c r="AS447" s="60"/>
      <c r="AT447" s="60"/>
      <c r="AU447" s="60"/>
      <c r="AV447" s="60"/>
      <c r="AW447" s="60"/>
      <c r="AX447" s="60"/>
      <c r="AY447" s="60"/>
      <c r="AZ447" s="60"/>
    </row>
    <row r="448" ht="13.5" spans="1:52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  <c r="AQ448" s="60"/>
      <c r="AR448" s="60"/>
      <c r="AS448" s="60"/>
      <c r="AT448" s="60"/>
      <c r="AU448" s="60"/>
      <c r="AV448" s="60"/>
      <c r="AW448" s="60"/>
      <c r="AX448" s="60"/>
      <c r="AY448" s="60"/>
      <c r="AZ448" s="60"/>
    </row>
    <row r="449" ht="13.5" spans="1:52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  <c r="AQ449" s="60"/>
      <c r="AR449" s="60"/>
      <c r="AS449" s="60"/>
      <c r="AT449" s="60"/>
      <c r="AU449" s="60"/>
      <c r="AV449" s="60"/>
      <c r="AW449" s="60"/>
      <c r="AX449" s="60"/>
      <c r="AY449" s="60"/>
      <c r="AZ449" s="60"/>
    </row>
    <row r="450" ht="13.5" spans="1:52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  <c r="AQ450" s="60"/>
      <c r="AR450" s="60"/>
      <c r="AS450" s="60"/>
      <c r="AT450" s="60"/>
      <c r="AU450" s="60"/>
      <c r="AV450" s="60"/>
      <c r="AW450" s="60"/>
      <c r="AX450" s="60"/>
      <c r="AY450" s="60"/>
      <c r="AZ450" s="60"/>
    </row>
    <row r="451" ht="13.5" spans="1:52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  <c r="AQ451" s="60"/>
      <c r="AR451" s="60"/>
      <c r="AS451" s="60"/>
      <c r="AT451" s="60"/>
      <c r="AU451" s="60"/>
      <c r="AV451" s="60"/>
      <c r="AW451" s="60"/>
      <c r="AX451" s="60"/>
      <c r="AY451" s="60"/>
      <c r="AZ451" s="60"/>
    </row>
    <row r="452" ht="13.5" spans="1:52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  <c r="AQ452" s="60"/>
      <c r="AR452" s="60"/>
      <c r="AS452" s="60"/>
      <c r="AT452" s="60"/>
      <c r="AU452" s="60"/>
      <c r="AV452" s="60"/>
      <c r="AW452" s="60"/>
      <c r="AX452" s="60"/>
      <c r="AY452" s="60"/>
      <c r="AZ452" s="60"/>
    </row>
    <row r="453" ht="13.5" spans="1:52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  <c r="AQ453" s="60"/>
      <c r="AR453" s="60"/>
      <c r="AS453" s="60"/>
      <c r="AT453" s="60"/>
      <c r="AU453" s="60"/>
      <c r="AV453" s="60"/>
      <c r="AW453" s="60"/>
      <c r="AX453" s="60"/>
      <c r="AY453" s="60"/>
      <c r="AZ453" s="60"/>
    </row>
    <row r="454" ht="13.5" spans="1:52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  <c r="AQ454" s="60"/>
      <c r="AR454" s="60"/>
      <c r="AS454" s="60"/>
      <c r="AT454" s="60"/>
      <c r="AU454" s="60"/>
      <c r="AV454" s="60"/>
      <c r="AW454" s="60"/>
      <c r="AX454" s="60"/>
      <c r="AY454" s="60"/>
      <c r="AZ454" s="60"/>
    </row>
    <row r="455" ht="13.5" spans="1:52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  <c r="AQ455" s="60"/>
      <c r="AR455" s="60"/>
      <c r="AS455" s="60"/>
      <c r="AT455" s="60"/>
      <c r="AU455" s="60"/>
      <c r="AV455" s="60"/>
      <c r="AW455" s="60"/>
      <c r="AX455" s="60"/>
      <c r="AY455" s="60"/>
      <c r="AZ455" s="60"/>
    </row>
    <row r="456" ht="13.5" spans="1:52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  <c r="AQ456" s="60"/>
      <c r="AR456" s="60"/>
      <c r="AS456" s="60"/>
      <c r="AT456" s="60"/>
      <c r="AU456" s="60"/>
      <c r="AV456" s="60"/>
      <c r="AW456" s="60"/>
      <c r="AX456" s="60"/>
      <c r="AY456" s="60"/>
      <c r="AZ456" s="60"/>
    </row>
    <row r="457" ht="13.5" spans="1:52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  <c r="AQ457" s="60"/>
      <c r="AR457" s="60"/>
      <c r="AS457" s="60"/>
      <c r="AT457" s="60"/>
      <c r="AU457" s="60"/>
      <c r="AV457" s="60"/>
      <c r="AW457" s="60"/>
      <c r="AX457" s="60"/>
      <c r="AY457" s="60"/>
      <c r="AZ457" s="60"/>
    </row>
    <row r="458" ht="13.5" spans="1:52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  <c r="AQ458" s="60"/>
      <c r="AR458" s="60"/>
      <c r="AS458" s="60"/>
      <c r="AT458" s="60"/>
      <c r="AU458" s="60"/>
      <c r="AV458" s="60"/>
      <c r="AW458" s="60"/>
      <c r="AX458" s="60"/>
      <c r="AY458" s="60"/>
      <c r="AZ458" s="60"/>
    </row>
    <row r="459" ht="13.5" spans="1:52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  <c r="AQ459" s="60"/>
      <c r="AR459" s="60"/>
      <c r="AS459" s="60"/>
      <c r="AT459" s="60"/>
      <c r="AU459" s="60"/>
      <c r="AV459" s="60"/>
      <c r="AW459" s="60"/>
      <c r="AX459" s="60"/>
      <c r="AY459" s="60"/>
      <c r="AZ459" s="60"/>
    </row>
    <row r="460" ht="13.5" spans="1:52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  <c r="AQ460" s="60"/>
      <c r="AR460" s="60"/>
      <c r="AS460" s="60"/>
      <c r="AT460" s="60"/>
      <c r="AU460" s="60"/>
      <c r="AV460" s="60"/>
      <c r="AW460" s="60"/>
      <c r="AX460" s="60"/>
      <c r="AY460" s="60"/>
      <c r="AZ460" s="60"/>
    </row>
    <row r="461" ht="13.5" spans="1:52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  <c r="AQ461" s="60"/>
      <c r="AR461" s="60"/>
      <c r="AS461" s="60"/>
      <c r="AT461" s="60"/>
      <c r="AU461" s="60"/>
      <c r="AV461" s="60"/>
      <c r="AW461" s="60"/>
      <c r="AX461" s="60"/>
      <c r="AY461" s="60"/>
      <c r="AZ461" s="60"/>
    </row>
    <row r="462" ht="13.5" spans="1:52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  <c r="AQ462" s="60"/>
      <c r="AR462" s="60"/>
      <c r="AS462" s="60"/>
      <c r="AT462" s="60"/>
      <c r="AU462" s="60"/>
      <c r="AV462" s="60"/>
      <c r="AW462" s="60"/>
      <c r="AX462" s="60"/>
      <c r="AY462" s="60"/>
      <c r="AZ462" s="60"/>
    </row>
    <row r="463" ht="13.5" spans="1:52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  <c r="AQ463" s="60"/>
      <c r="AR463" s="60"/>
      <c r="AS463" s="60"/>
      <c r="AT463" s="60"/>
      <c r="AU463" s="60"/>
      <c r="AV463" s="60"/>
      <c r="AW463" s="60"/>
      <c r="AX463" s="60"/>
      <c r="AY463" s="60"/>
      <c r="AZ463" s="60"/>
    </row>
    <row r="464" ht="13.5" spans="1:52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  <c r="AQ464" s="60"/>
      <c r="AR464" s="60"/>
      <c r="AS464" s="60"/>
      <c r="AT464" s="60"/>
      <c r="AU464" s="60"/>
      <c r="AV464" s="60"/>
      <c r="AW464" s="60"/>
      <c r="AX464" s="60"/>
      <c r="AY464" s="60"/>
      <c r="AZ464" s="60"/>
    </row>
    <row r="465" ht="13.5" spans="1:52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  <c r="AQ465" s="60"/>
      <c r="AR465" s="60"/>
      <c r="AS465" s="60"/>
      <c r="AT465" s="60"/>
      <c r="AU465" s="60"/>
      <c r="AV465" s="60"/>
      <c r="AW465" s="60"/>
      <c r="AX465" s="60"/>
      <c r="AY465" s="60"/>
      <c r="AZ465" s="60"/>
    </row>
    <row r="466" ht="13.5" spans="1:52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  <c r="AQ466" s="60"/>
      <c r="AR466" s="60"/>
      <c r="AS466" s="60"/>
      <c r="AT466" s="60"/>
      <c r="AU466" s="60"/>
      <c r="AV466" s="60"/>
      <c r="AW466" s="60"/>
      <c r="AX466" s="60"/>
      <c r="AY466" s="60"/>
      <c r="AZ466" s="60"/>
    </row>
    <row r="467" ht="13.5" spans="1:52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  <c r="AQ467" s="60"/>
      <c r="AR467" s="60"/>
      <c r="AS467" s="60"/>
      <c r="AT467" s="60"/>
      <c r="AU467" s="60"/>
      <c r="AV467" s="60"/>
      <c r="AW467" s="60"/>
      <c r="AX467" s="60"/>
      <c r="AY467" s="60"/>
      <c r="AZ467" s="60"/>
    </row>
    <row r="468" ht="13.5" spans="1:52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  <c r="AQ468" s="60"/>
      <c r="AR468" s="60"/>
      <c r="AS468" s="60"/>
      <c r="AT468" s="60"/>
      <c r="AU468" s="60"/>
      <c r="AV468" s="60"/>
      <c r="AW468" s="60"/>
      <c r="AX468" s="60"/>
      <c r="AY468" s="60"/>
      <c r="AZ468" s="60"/>
    </row>
    <row r="469" ht="13.5" spans="1:52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  <c r="AQ469" s="60"/>
      <c r="AR469" s="60"/>
      <c r="AS469" s="60"/>
      <c r="AT469" s="60"/>
      <c r="AU469" s="60"/>
      <c r="AV469" s="60"/>
      <c r="AW469" s="60"/>
      <c r="AX469" s="60"/>
      <c r="AY469" s="60"/>
      <c r="AZ469" s="60"/>
    </row>
    <row r="470" ht="13.5" spans="1:52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  <c r="AQ470" s="60"/>
      <c r="AR470" s="60"/>
      <c r="AS470" s="60"/>
      <c r="AT470" s="60"/>
      <c r="AU470" s="60"/>
      <c r="AV470" s="60"/>
      <c r="AW470" s="60"/>
      <c r="AX470" s="60"/>
      <c r="AY470" s="60"/>
      <c r="AZ470" s="60"/>
    </row>
    <row r="471" ht="13.5" spans="1:52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  <c r="AQ471" s="60"/>
      <c r="AR471" s="60"/>
      <c r="AS471" s="60"/>
      <c r="AT471" s="60"/>
      <c r="AU471" s="60"/>
      <c r="AV471" s="60"/>
      <c r="AW471" s="60"/>
      <c r="AX471" s="60"/>
      <c r="AY471" s="60"/>
      <c r="AZ471" s="60"/>
    </row>
    <row r="472" ht="13.5" spans="1:52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  <c r="AQ472" s="60"/>
      <c r="AR472" s="60"/>
      <c r="AS472" s="60"/>
      <c r="AT472" s="60"/>
      <c r="AU472" s="60"/>
      <c r="AV472" s="60"/>
      <c r="AW472" s="60"/>
      <c r="AX472" s="60"/>
      <c r="AY472" s="60"/>
      <c r="AZ472" s="60"/>
    </row>
    <row r="473" ht="13.5" spans="1:52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  <c r="AQ473" s="60"/>
      <c r="AR473" s="60"/>
      <c r="AS473" s="60"/>
      <c r="AT473" s="60"/>
      <c r="AU473" s="60"/>
      <c r="AV473" s="60"/>
      <c r="AW473" s="60"/>
      <c r="AX473" s="60"/>
      <c r="AY473" s="60"/>
      <c r="AZ473" s="60"/>
    </row>
    <row r="474" ht="13.5" spans="1:52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  <c r="AQ474" s="60"/>
      <c r="AR474" s="60"/>
      <c r="AS474" s="60"/>
      <c r="AT474" s="60"/>
      <c r="AU474" s="60"/>
      <c r="AV474" s="60"/>
      <c r="AW474" s="60"/>
      <c r="AX474" s="60"/>
      <c r="AY474" s="60"/>
      <c r="AZ474" s="60"/>
    </row>
    <row r="475" ht="13.5" spans="1:52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  <c r="AQ475" s="60"/>
      <c r="AR475" s="60"/>
      <c r="AS475" s="60"/>
      <c r="AT475" s="60"/>
      <c r="AU475" s="60"/>
      <c r="AV475" s="60"/>
      <c r="AW475" s="60"/>
      <c r="AX475" s="60"/>
      <c r="AY475" s="60"/>
      <c r="AZ475" s="60"/>
    </row>
    <row r="476" ht="13.5" spans="1:52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  <c r="AQ476" s="60"/>
      <c r="AR476" s="60"/>
      <c r="AS476" s="60"/>
      <c r="AT476" s="60"/>
      <c r="AU476" s="60"/>
      <c r="AV476" s="60"/>
      <c r="AW476" s="60"/>
      <c r="AX476" s="60"/>
      <c r="AY476" s="60"/>
      <c r="AZ476" s="60"/>
    </row>
    <row r="477" ht="13.5" spans="1:52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  <c r="AQ477" s="60"/>
      <c r="AR477" s="60"/>
      <c r="AS477" s="60"/>
      <c r="AT477" s="60"/>
      <c r="AU477" s="60"/>
      <c r="AV477" s="60"/>
      <c r="AW477" s="60"/>
      <c r="AX477" s="60"/>
      <c r="AY477" s="60"/>
      <c r="AZ477" s="60"/>
    </row>
    <row r="478" ht="13.5" spans="1:52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  <c r="AQ478" s="60"/>
      <c r="AR478" s="60"/>
      <c r="AS478" s="60"/>
      <c r="AT478" s="60"/>
      <c r="AU478" s="60"/>
      <c r="AV478" s="60"/>
      <c r="AW478" s="60"/>
      <c r="AX478" s="60"/>
      <c r="AY478" s="60"/>
      <c r="AZ478" s="60"/>
    </row>
    <row r="479" ht="13.5" spans="1:52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  <c r="AQ479" s="60"/>
      <c r="AR479" s="60"/>
      <c r="AS479" s="60"/>
      <c r="AT479" s="60"/>
      <c r="AU479" s="60"/>
      <c r="AV479" s="60"/>
      <c r="AW479" s="60"/>
      <c r="AX479" s="60"/>
      <c r="AY479" s="60"/>
      <c r="AZ479" s="60"/>
    </row>
    <row r="480" ht="13.5" spans="1:52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  <c r="AQ480" s="60"/>
      <c r="AR480" s="60"/>
      <c r="AS480" s="60"/>
      <c r="AT480" s="60"/>
      <c r="AU480" s="60"/>
      <c r="AV480" s="60"/>
      <c r="AW480" s="60"/>
      <c r="AX480" s="60"/>
      <c r="AY480" s="60"/>
      <c r="AZ480" s="60"/>
    </row>
    <row r="481" ht="13.5" spans="1:52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  <c r="AQ481" s="60"/>
      <c r="AR481" s="60"/>
      <c r="AS481" s="60"/>
      <c r="AT481" s="60"/>
      <c r="AU481" s="60"/>
      <c r="AV481" s="60"/>
      <c r="AW481" s="60"/>
      <c r="AX481" s="60"/>
      <c r="AY481" s="60"/>
      <c r="AZ481" s="60"/>
    </row>
    <row r="482" ht="13.5" spans="1:52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  <c r="AQ482" s="60"/>
      <c r="AR482" s="60"/>
      <c r="AS482" s="60"/>
      <c r="AT482" s="60"/>
      <c r="AU482" s="60"/>
      <c r="AV482" s="60"/>
      <c r="AW482" s="60"/>
      <c r="AX482" s="60"/>
      <c r="AY482" s="60"/>
      <c r="AZ482" s="60"/>
    </row>
    <row r="483" ht="13.5" spans="1:52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  <c r="AQ483" s="60"/>
      <c r="AR483" s="60"/>
      <c r="AS483" s="60"/>
      <c r="AT483" s="60"/>
      <c r="AU483" s="60"/>
      <c r="AV483" s="60"/>
      <c r="AW483" s="60"/>
      <c r="AX483" s="60"/>
      <c r="AY483" s="60"/>
      <c r="AZ483" s="60"/>
    </row>
    <row r="484" ht="13.5" spans="1:52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  <c r="AQ484" s="60"/>
      <c r="AR484" s="60"/>
      <c r="AS484" s="60"/>
      <c r="AT484" s="60"/>
      <c r="AU484" s="60"/>
      <c r="AV484" s="60"/>
      <c r="AW484" s="60"/>
      <c r="AX484" s="60"/>
      <c r="AY484" s="60"/>
      <c r="AZ484" s="60"/>
    </row>
    <row r="485" ht="13.5" spans="1:52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  <c r="AQ485" s="60"/>
      <c r="AR485" s="60"/>
      <c r="AS485" s="60"/>
      <c r="AT485" s="60"/>
      <c r="AU485" s="60"/>
      <c r="AV485" s="60"/>
      <c r="AW485" s="60"/>
      <c r="AX485" s="60"/>
      <c r="AY485" s="60"/>
      <c r="AZ485" s="60"/>
    </row>
    <row r="486" ht="13.5" spans="1:52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  <c r="AQ486" s="60"/>
      <c r="AR486" s="60"/>
      <c r="AS486" s="60"/>
      <c r="AT486" s="60"/>
      <c r="AU486" s="60"/>
      <c r="AV486" s="60"/>
      <c r="AW486" s="60"/>
      <c r="AX486" s="60"/>
      <c r="AY486" s="60"/>
      <c r="AZ486" s="60"/>
    </row>
    <row r="487" ht="13.5" spans="1:52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  <c r="AQ487" s="60"/>
      <c r="AR487" s="60"/>
      <c r="AS487" s="60"/>
      <c r="AT487" s="60"/>
      <c r="AU487" s="60"/>
      <c r="AV487" s="60"/>
      <c r="AW487" s="60"/>
      <c r="AX487" s="60"/>
      <c r="AY487" s="60"/>
      <c r="AZ487" s="60"/>
    </row>
    <row r="488" ht="13.5" spans="1:52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  <c r="AQ488" s="60"/>
      <c r="AR488" s="60"/>
      <c r="AS488" s="60"/>
      <c r="AT488" s="60"/>
      <c r="AU488" s="60"/>
      <c r="AV488" s="60"/>
      <c r="AW488" s="60"/>
      <c r="AX488" s="60"/>
      <c r="AY488" s="60"/>
      <c r="AZ488" s="60"/>
    </row>
    <row r="489" ht="13.5" spans="1:52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  <c r="AQ489" s="60"/>
      <c r="AR489" s="60"/>
      <c r="AS489" s="60"/>
      <c r="AT489" s="60"/>
      <c r="AU489" s="60"/>
      <c r="AV489" s="60"/>
      <c r="AW489" s="60"/>
      <c r="AX489" s="60"/>
      <c r="AY489" s="60"/>
      <c r="AZ489" s="60"/>
    </row>
    <row r="490" ht="13.5" spans="1:52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  <c r="AQ490" s="60"/>
      <c r="AR490" s="60"/>
      <c r="AS490" s="60"/>
      <c r="AT490" s="60"/>
      <c r="AU490" s="60"/>
      <c r="AV490" s="60"/>
      <c r="AW490" s="60"/>
      <c r="AX490" s="60"/>
      <c r="AY490" s="60"/>
      <c r="AZ490" s="60"/>
    </row>
    <row r="491" ht="13.5" spans="1:52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  <c r="AQ491" s="60"/>
      <c r="AR491" s="60"/>
      <c r="AS491" s="60"/>
      <c r="AT491" s="60"/>
      <c r="AU491" s="60"/>
      <c r="AV491" s="60"/>
      <c r="AW491" s="60"/>
      <c r="AX491" s="60"/>
      <c r="AY491" s="60"/>
      <c r="AZ491" s="60"/>
    </row>
    <row r="492" ht="13.5" spans="1:52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  <c r="AQ492" s="60"/>
      <c r="AR492" s="60"/>
      <c r="AS492" s="60"/>
      <c r="AT492" s="60"/>
      <c r="AU492" s="60"/>
      <c r="AV492" s="60"/>
      <c r="AW492" s="60"/>
      <c r="AX492" s="60"/>
      <c r="AY492" s="60"/>
      <c r="AZ492" s="60"/>
    </row>
    <row r="493" ht="13.5" spans="1:52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  <c r="AQ493" s="60"/>
      <c r="AR493" s="60"/>
      <c r="AS493" s="60"/>
      <c r="AT493" s="60"/>
      <c r="AU493" s="60"/>
      <c r="AV493" s="60"/>
      <c r="AW493" s="60"/>
      <c r="AX493" s="60"/>
      <c r="AY493" s="60"/>
      <c r="AZ493" s="60"/>
    </row>
    <row r="494" ht="13.5" spans="1:52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  <c r="AQ494" s="60"/>
      <c r="AR494" s="60"/>
      <c r="AS494" s="60"/>
      <c r="AT494" s="60"/>
      <c r="AU494" s="60"/>
      <c r="AV494" s="60"/>
      <c r="AW494" s="60"/>
      <c r="AX494" s="60"/>
      <c r="AY494" s="60"/>
      <c r="AZ494" s="60"/>
    </row>
    <row r="495" ht="13.5" spans="1:52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60"/>
      <c r="AR495" s="60"/>
      <c r="AS495" s="60"/>
      <c r="AT495" s="60"/>
      <c r="AU495" s="60"/>
      <c r="AV495" s="60"/>
      <c r="AW495" s="60"/>
      <c r="AX495" s="60"/>
      <c r="AY495" s="60"/>
      <c r="AZ495" s="60"/>
    </row>
    <row r="496" ht="13.5" spans="1:52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  <c r="AQ496" s="60"/>
      <c r="AR496" s="60"/>
      <c r="AS496" s="60"/>
      <c r="AT496" s="60"/>
      <c r="AU496" s="60"/>
      <c r="AV496" s="60"/>
      <c r="AW496" s="60"/>
      <c r="AX496" s="60"/>
      <c r="AY496" s="60"/>
      <c r="AZ496" s="60"/>
    </row>
    <row r="497" ht="13.5" spans="1:52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  <c r="AQ497" s="60"/>
      <c r="AR497" s="60"/>
      <c r="AS497" s="60"/>
      <c r="AT497" s="60"/>
      <c r="AU497" s="60"/>
      <c r="AV497" s="60"/>
      <c r="AW497" s="60"/>
      <c r="AX497" s="60"/>
      <c r="AY497" s="60"/>
      <c r="AZ497" s="60"/>
    </row>
    <row r="498" ht="13.5" spans="1:52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  <c r="AQ498" s="60"/>
      <c r="AR498" s="60"/>
      <c r="AS498" s="60"/>
      <c r="AT498" s="60"/>
      <c r="AU498" s="60"/>
      <c r="AV498" s="60"/>
      <c r="AW498" s="60"/>
      <c r="AX498" s="60"/>
      <c r="AY498" s="60"/>
      <c r="AZ498" s="60"/>
    </row>
    <row r="499" ht="13.5" spans="1:52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60"/>
      <c r="AR499" s="60"/>
      <c r="AS499" s="60"/>
      <c r="AT499" s="60"/>
      <c r="AU499" s="60"/>
      <c r="AV499" s="60"/>
      <c r="AW499" s="60"/>
      <c r="AX499" s="60"/>
      <c r="AY499" s="60"/>
      <c r="AZ499" s="60"/>
    </row>
    <row r="500" ht="13.5" spans="1:52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  <c r="AQ500" s="60"/>
      <c r="AR500" s="60"/>
      <c r="AS500" s="60"/>
      <c r="AT500" s="60"/>
      <c r="AU500" s="60"/>
      <c r="AV500" s="60"/>
      <c r="AW500" s="60"/>
      <c r="AX500" s="60"/>
      <c r="AY500" s="60"/>
      <c r="AZ500" s="60"/>
    </row>
    <row r="501" ht="13.5" spans="1:52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  <c r="AQ501" s="60"/>
      <c r="AR501" s="60"/>
      <c r="AS501" s="60"/>
      <c r="AT501" s="60"/>
      <c r="AU501" s="60"/>
      <c r="AV501" s="60"/>
      <c r="AW501" s="60"/>
      <c r="AX501" s="60"/>
      <c r="AY501" s="60"/>
      <c r="AZ501" s="60"/>
    </row>
    <row r="502" ht="13.5" spans="1:52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  <c r="AQ502" s="60"/>
      <c r="AR502" s="60"/>
      <c r="AS502" s="60"/>
      <c r="AT502" s="60"/>
      <c r="AU502" s="60"/>
      <c r="AV502" s="60"/>
      <c r="AW502" s="60"/>
      <c r="AX502" s="60"/>
      <c r="AY502" s="60"/>
      <c r="AZ502" s="60"/>
    </row>
    <row r="503" ht="13.5" spans="1:52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  <c r="AQ503" s="60"/>
      <c r="AR503" s="60"/>
      <c r="AS503" s="60"/>
      <c r="AT503" s="60"/>
      <c r="AU503" s="60"/>
      <c r="AV503" s="60"/>
      <c r="AW503" s="60"/>
      <c r="AX503" s="60"/>
      <c r="AY503" s="60"/>
      <c r="AZ503" s="60"/>
    </row>
    <row r="504" ht="13.5" spans="1:52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  <c r="AQ504" s="60"/>
      <c r="AR504" s="60"/>
      <c r="AS504" s="60"/>
      <c r="AT504" s="60"/>
      <c r="AU504" s="60"/>
      <c r="AV504" s="60"/>
      <c r="AW504" s="60"/>
      <c r="AX504" s="60"/>
      <c r="AY504" s="60"/>
      <c r="AZ504" s="60"/>
    </row>
    <row r="505" ht="13.5" spans="1:52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  <c r="AQ505" s="60"/>
      <c r="AR505" s="60"/>
      <c r="AS505" s="60"/>
      <c r="AT505" s="60"/>
      <c r="AU505" s="60"/>
      <c r="AV505" s="60"/>
      <c r="AW505" s="60"/>
      <c r="AX505" s="60"/>
      <c r="AY505" s="60"/>
      <c r="AZ505" s="60"/>
    </row>
    <row r="506" ht="13.5" spans="1:52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  <c r="AQ506" s="60"/>
      <c r="AR506" s="60"/>
      <c r="AS506" s="60"/>
      <c r="AT506" s="60"/>
      <c r="AU506" s="60"/>
      <c r="AV506" s="60"/>
      <c r="AW506" s="60"/>
      <c r="AX506" s="60"/>
      <c r="AY506" s="60"/>
      <c r="AZ506" s="60"/>
    </row>
    <row r="507" ht="13.5" spans="1:52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60"/>
      <c r="AL507" s="60"/>
      <c r="AM507" s="60"/>
      <c r="AN507" s="60"/>
      <c r="AO507" s="60"/>
      <c r="AP507" s="60"/>
      <c r="AQ507" s="60"/>
      <c r="AR507" s="60"/>
      <c r="AS507" s="60"/>
      <c r="AT507" s="60"/>
      <c r="AU507" s="60"/>
      <c r="AV507" s="60"/>
      <c r="AW507" s="60"/>
      <c r="AX507" s="60"/>
      <c r="AY507" s="60"/>
      <c r="AZ507" s="60"/>
    </row>
    <row r="508" ht="13.5" spans="1:52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/>
      <c r="AL508" s="60"/>
      <c r="AM508" s="60"/>
      <c r="AN508" s="60"/>
      <c r="AO508" s="60"/>
      <c r="AP508" s="60"/>
      <c r="AQ508" s="60"/>
      <c r="AR508" s="60"/>
      <c r="AS508" s="60"/>
      <c r="AT508" s="60"/>
      <c r="AU508" s="60"/>
      <c r="AV508" s="60"/>
      <c r="AW508" s="60"/>
      <c r="AX508" s="60"/>
      <c r="AY508" s="60"/>
      <c r="AZ508" s="60"/>
    </row>
    <row r="509" ht="13.5" spans="1:52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60"/>
      <c r="AL509" s="60"/>
      <c r="AM509" s="60"/>
      <c r="AN509" s="60"/>
      <c r="AO509" s="60"/>
      <c r="AP509" s="60"/>
      <c r="AQ509" s="60"/>
      <c r="AR509" s="60"/>
      <c r="AS509" s="60"/>
      <c r="AT509" s="60"/>
      <c r="AU509" s="60"/>
      <c r="AV509" s="60"/>
      <c r="AW509" s="60"/>
      <c r="AX509" s="60"/>
      <c r="AY509" s="60"/>
      <c r="AZ509" s="60"/>
    </row>
    <row r="510" ht="13.5" spans="1:52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  <c r="AK510" s="60"/>
      <c r="AL510" s="60"/>
      <c r="AM510" s="60"/>
      <c r="AN510" s="60"/>
      <c r="AO510" s="60"/>
      <c r="AP510" s="60"/>
      <c r="AQ510" s="60"/>
      <c r="AR510" s="60"/>
      <c r="AS510" s="60"/>
      <c r="AT510" s="60"/>
      <c r="AU510" s="60"/>
      <c r="AV510" s="60"/>
      <c r="AW510" s="60"/>
      <c r="AX510" s="60"/>
      <c r="AY510" s="60"/>
      <c r="AZ510" s="60"/>
    </row>
    <row r="511" ht="13.5" spans="1:52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60"/>
      <c r="AL511" s="60"/>
      <c r="AM511" s="60"/>
      <c r="AN511" s="60"/>
      <c r="AO511" s="60"/>
      <c r="AP511" s="60"/>
      <c r="AQ511" s="60"/>
      <c r="AR511" s="60"/>
      <c r="AS511" s="60"/>
      <c r="AT511" s="60"/>
      <c r="AU511" s="60"/>
      <c r="AV511" s="60"/>
      <c r="AW511" s="60"/>
      <c r="AX511" s="60"/>
      <c r="AY511" s="60"/>
      <c r="AZ511" s="60"/>
    </row>
    <row r="512" ht="13.5" spans="1:52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60"/>
      <c r="AL512" s="60"/>
      <c r="AM512" s="60"/>
      <c r="AN512" s="60"/>
      <c r="AO512" s="60"/>
      <c r="AP512" s="60"/>
      <c r="AQ512" s="60"/>
      <c r="AR512" s="60"/>
      <c r="AS512" s="60"/>
      <c r="AT512" s="60"/>
      <c r="AU512" s="60"/>
      <c r="AV512" s="60"/>
      <c r="AW512" s="60"/>
      <c r="AX512" s="60"/>
      <c r="AY512" s="60"/>
      <c r="AZ512" s="60"/>
    </row>
    <row r="513" ht="13.5" spans="1:52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60"/>
      <c r="AK513" s="60"/>
      <c r="AL513" s="60"/>
      <c r="AM513" s="60"/>
      <c r="AN513" s="60"/>
      <c r="AO513" s="60"/>
      <c r="AP513" s="60"/>
      <c r="AQ513" s="60"/>
      <c r="AR513" s="60"/>
      <c r="AS513" s="60"/>
      <c r="AT513" s="60"/>
      <c r="AU513" s="60"/>
      <c r="AV513" s="60"/>
      <c r="AW513" s="60"/>
      <c r="AX513" s="60"/>
      <c r="AY513" s="60"/>
      <c r="AZ513" s="60"/>
    </row>
    <row r="514" ht="13.5" spans="1:52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60"/>
      <c r="AL514" s="60"/>
      <c r="AM514" s="60"/>
      <c r="AN514" s="60"/>
      <c r="AO514" s="60"/>
      <c r="AP514" s="60"/>
      <c r="AQ514" s="60"/>
      <c r="AR514" s="60"/>
      <c r="AS514" s="60"/>
      <c r="AT514" s="60"/>
      <c r="AU514" s="60"/>
      <c r="AV514" s="60"/>
      <c r="AW514" s="60"/>
      <c r="AX514" s="60"/>
      <c r="AY514" s="60"/>
      <c r="AZ514" s="60"/>
    </row>
    <row r="515" ht="13.5" spans="1:52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  <c r="AK515" s="60"/>
      <c r="AL515" s="60"/>
      <c r="AM515" s="60"/>
      <c r="AN515" s="60"/>
      <c r="AO515" s="60"/>
      <c r="AP515" s="60"/>
      <c r="AQ515" s="60"/>
      <c r="AR515" s="60"/>
      <c r="AS515" s="60"/>
      <c r="AT515" s="60"/>
      <c r="AU515" s="60"/>
      <c r="AV515" s="60"/>
      <c r="AW515" s="60"/>
      <c r="AX515" s="60"/>
      <c r="AY515" s="60"/>
      <c r="AZ515" s="60"/>
    </row>
    <row r="516" ht="13.5" spans="1:52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  <c r="AK516" s="60"/>
      <c r="AL516" s="60"/>
      <c r="AM516" s="60"/>
      <c r="AN516" s="60"/>
      <c r="AO516" s="60"/>
      <c r="AP516" s="60"/>
      <c r="AQ516" s="60"/>
      <c r="AR516" s="60"/>
      <c r="AS516" s="60"/>
      <c r="AT516" s="60"/>
      <c r="AU516" s="60"/>
      <c r="AV516" s="60"/>
      <c r="AW516" s="60"/>
      <c r="AX516" s="60"/>
      <c r="AY516" s="60"/>
      <c r="AZ516" s="60"/>
    </row>
    <row r="517" ht="13.5" spans="1:52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  <c r="AJ517" s="60"/>
      <c r="AK517" s="60"/>
      <c r="AL517" s="60"/>
      <c r="AM517" s="60"/>
      <c r="AN517" s="60"/>
      <c r="AO517" s="60"/>
      <c r="AP517" s="60"/>
      <c r="AQ517" s="60"/>
      <c r="AR517" s="60"/>
      <c r="AS517" s="60"/>
      <c r="AT517" s="60"/>
      <c r="AU517" s="60"/>
      <c r="AV517" s="60"/>
      <c r="AW517" s="60"/>
      <c r="AX517" s="60"/>
      <c r="AY517" s="60"/>
      <c r="AZ517" s="60"/>
    </row>
    <row r="518" ht="13.5" spans="1:52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  <c r="AK518" s="60"/>
      <c r="AL518" s="60"/>
      <c r="AM518" s="60"/>
      <c r="AN518" s="60"/>
      <c r="AO518" s="60"/>
      <c r="AP518" s="60"/>
      <c r="AQ518" s="60"/>
      <c r="AR518" s="60"/>
      <c r="AS518" s="60"/>
      <c r="AT518" s="60"/>
      <c r="AU518" s="60"/>
      <c r="AV518" s="60"/>
      <c r="AW518" s="60"/>
      <c r="AX518" s="60"/>
      <c r="AY518" s="60"/>
      <c r="AZ518" s="60"/>
    </row>
    <row r="519" ht="13.5" spans="1:52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  <c r="AK519" s="60"/>
      <c r="AL519" s="60"/>
      <c r="AM519" s="60"/>
      <c r="AN519" s="60"/>
      <c r="AO519" s="60"/>
      <c r="AP519" s="60"/>
      <c r="AQ519" s="60"/>
      <c r="AR519" s="60"/>
      <c r="AS519" s="60"/>
      <c r="AT519" s="60"/>
      <c r="AU519" s="60"/>
      <c r="AV519" s="60"/>
      <c r="AW519" s="60"/>
      <c r="AX519" s="60"/>
      <c r="AY519" s="60"/>
      <c r="AZ519" s="60"/>
    </row>
    <row r="520" ht="13.5" spans="1:52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  <c r="AK520" s="60"/>
      <c r="AL520" s="60"/>
      <c r="AM520" s="60"/>
      <c r="AN520" s="60"/>
      <c r="AO520" s="60"/>
      <c r="AP520" s="60"/>
      <c r="AQ520" s="60"/>
      <c r="AR520" s="60"/>
      <c r="AS520" s="60"/>
      <c r="AT520" s="60"/>
      <c r="AU520" s="60"/>
      <c r="AV520" s="60"/>
      <c r="AW520" s="60"/>
      <c r="AX520" s="60"/>
      <c r="AY520" s="60"/>
      <c r="AZ520" s="60"/>
    </row>
    <row r="521" ht="13.5" spans="1:52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60"/>
      <c r="AK521" s="60"/>
      <c r="AL521" s="60"/>
      <c r="AM521" s="60"/>
      <c r="AN521" s="60"/>
      <c r="AO521" s="60"/>
      <c r="AP521" s="60"/>
      <c r="AQ521" s="60"/>
      <c r="AR521" s="60"/>
      <c r="AS521" s="60"/>
      <c r="AT521" s="60"/>
      <c r="AU521" s="60"/>
      <c r="AV521" s="60"/>
      <c r="AW521" s="60"/>
      <c r="AX521" s="60"/>
      <c r="AY521" s="60"/>
      <c r="AZ521" s="60"/>
    </row>
    <row r="522" ht="13.5" spans="1:52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60"/>
      <c r="AK522" s="60"/>
      <c r="AL522" s="60"/>
      <c r="AM522" s="60"/>
      <c r="AN522" s="60"/>
      <c r="AO522" s="60"/>
      <c r="AP522" s="60"/>
      <c r="AQ522" s="60"/>
      <c r="AR522" s="60"/>
      <c r="AS522" s="60"/>
      <c r="AT522" s="60"/>
      <c r="AU522" s="60"/>
      <c r="AV522" s="60"/>
      <c r="AW522" s="60"/>
      <c r="AX522" s="60"/>
      <c r="AY522" s="60"/>
      <c r="AZ522" s="60"/>
    </row>
    <row r="523" ht="13.5" spans="1:52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  <c r="AK523" s="60"/>
      <c r="AL523" s="60"/>
      <c r="AM523" s="60"/>
      <c r="AN523" s="60"/>
      <c r="AO523" s="60"/>
      <c r="AP523" s="60"/>
      <c r="AQ523" s="60"/>
      <c r="AR523" s="60"/>
      <c r="AS523" s="60"/>
      <c r="AT523" s="60"/>
      <c r="AU523" s="60"/>
      <c r="AV523" s="60"/>
      <c r="AW523" s="60"/>
      <c r="AX523" s="60"/>
      <c r="AY523" s="60"/>
      <c r="AZ523" s="60"/>
    </row>
    <row r="524" ht="13.5" spans="1:52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  <c r="AJ524" s="60"/>
      <c r="AK524" s="60"/>
      <c r="AL524" s="60"/>
      <c r="AM524" s="60"/>
      <c r="AN524" s="60"/>
      <c r="AO524" s="60"/>
      <c r="AP524" s="60"/>
      <c r="AQ524" s="60"/>
      <c r="AR524" s="60"/>
      <c r="AS524" s="60"/>
      <c r="AT524" s="60"/>
      <c r="AU524" s="60"/>
      <c r="AV524" s="60"/>
      <c r="AW524" s="60"/>
      <c r="AX524" s="60"/>
      <c r="AY524" s="60"/>
      <c r="AZ524" s="60"/>
    </row>
    <row r="525" ht="13.5" spans="1:52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  <c r="AJ525" s="60"/>
      <c r="AK525" s="60"/>
      <c r="AL525" s="60"/>
      <c r="AM525" s="60"/>
      <c r="AN525" s="60"/>
      <c r="AO525" s="60"/>
      <c r="AP525" s="60"/>
      <c r="AQ525" s="60"/>
      <c r="AR525" s="60"/>
      <c r="AS525" s="60"/>
      <c r="AT525" s="60"/>
      <c r="AU525" s="60"/>
      <c r="AV525" s="60"/>
      <c r="AW525" s="60"/>
      <c r="AX525" s="60"/>
      <c r="AY525" s="60"/>
      <c r="AZ525" s="60"/>
    </row>
    <row r="526" ht="13.5" spans="1:52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  <c r="AJ526" s="60"/>
      <c r="AK526" s="60"/>
      <c r="AL526" s="60"/>
      <c r="AM526" s="60"/>
      <c r="AN526" s="60"/>
      <c r="AO526" s="60"/>
      <c r="AP526" s="60"/>
      <c r="AQ526" s="60"/>
      <c r="AR526" s="60"/>
      <c r="AS526" s="60"/>
      <c r="AT526" s="60"/>
      <c r="AU526" s="60"/>
      <c r="AV526" s="60"/>
      <c r="AW526" s="60"/>
      <c r="AX526" s="60"/>
      <c r="AY526" s="60"/>
      <c r="AZ526" s="60"/>
    </row>
    <row r="527" ht="13.5" spans="1:52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  <c r="AJ527" s="60"/>
      <c r="AK527" s="60"/>
      <c r="AL527" s="60"/>
      <c r="AM527" s="60"/>
      <c r="AN527" s="60"/>
      <c r="AO527" s="60"/>
      <c r="AP527" s="60"/>
      <c r="AQ527" s="60"/>
      <c r="AR527" s="60"/>
      <c r="AS527" s="60"/>
      <c r="AT527" s="60"/>
      <c r="AU527" s="60"/>
      <c r="AV527" s="60"/>
      <c r="AW527" s="60"/>
      <c r="AX527" s="60"/>
      <c r="AY527" s="60"/>
      <c r="AZ527" s="60"/>
    </row>
    <row r="528" ht="13.5" spans="1:52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0"/>
      <c r="AC528" s="60"/>
      <c r="AD528" s="60"/>
      <c r="AE528" s="60"/>
      <c r="AF528" s="60"/>
      <c r="AG528" s="60"/>
      <c r="AH528" s="60"/>
      <c r="AI528" s="60"/>
      <c r="AJ528" s="60"/>
      <c r="AK528" s="60"/>
      <c r="AL528" s="60"/>
      <c r="AM528" s="60"/>
      <c r="AN528" s="60"/>
      <c r="AO528" s="60"/>
      <c r="AP528" s="60"/>
      <c r="AQ528" s="60"/>
      <c r="AR528" s="60"/>
      <c r="AS528" s="60"/>
      <c r="AT528" s="60"/>
      <c r="AU528" s="60"/>
      <c r="AV528" s="60"/>
      <c r="AW528" s="60"/>
      <c r="AX528" s="60"/>
      <c r="AY528" s="60"/>
      <c r="AZ528" s="60"/>
    </row>
    <row r="529" ht="13.5" spans="1:52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  <c r="AD529" s="60"/>
      <c r="AE529" s="60"/>
      <c r="AF529" s="60"/>
      <c r="AG529" s="60"/>
      <c r="AH529" s="60"/>
      <c r="AI529" s="60"/>
      <c r="AJ529" s="60"/>
      <c r="AK529" s="60"/>
      <c r="AL529" s="60"/>
      <c r="AM529" s="60"/>
      <c r="AN529" s="60"/>
      <c r="AO529" s="60"/>
      <c r="AP529" s="60"/>
      <c r="AQ529" s="60"/>
      <c r="AR529" s="60"/>
      <c r="AS529" s="60"/>
      <c r="AT529" s="60"/>
      <c r="AU529" s="60"/>
      <c r="AV529" s="60"/>
      <c r="AW529" s="60"/>
      <c r="AX529" s="60"/>
      <c r="AY529" s="60"/>
      <c r="AZ529" s="60"/>
    </row>
    <row r="530" ht="13.5" spans="1:52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  <c r="AJ530" s="60"/>
      <c r="AK530" s="60"/>
      <c r="AL530" s="60"/>
      <c r="AM530" s="60"/>
      <c r="AN530" s="60"/>
      <c r="AO530" s="60"/>
      <c r="AP530" s="60"/>
      <c r="AQ530" s="60"/>
      <c r="AR530" s="60"/>
      <c r="AS530" s="60"/>
      <c r="AT530" s="60"/>
      <c r="AU530" s="60"/>
      <c r="AV530" s="60"/>
      <c r="AW530" s="60"/>
      <c r="AX530" s="60"/>
      <c r="AY530" s="60"/>
      <c r="AZ530" s="60"/>
    </row>
    <row r="531" ht="13.5" spans="1:52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  <c r="AD531" s="60"/>
      <c r="AE531" s="60"/>
      <c r="AF531" s="60"/>
      <c r="AG531" s="60"/>
      <c r="AH531" s="60"/>
      <c r="AI531" s="60"/>
      <c r="AJ531" s="60"/>
      <c r="AK531" s="60"/>
      <c r="AL531" s="60"/>
      <c r="AM531" s="60"/>
      <c r="AN531" s="60"/>
      <c r="AO531" s="60"/>
      <c r="AP531" s="60"/>
      <c r="AQ531" s="60"/>
      <c r="AR531" s="60"/>
      <c r="AS531" s="60"/>
      <c r="AT531" s="60"/>
      <c r="AU531" s="60"/>
      <c r="AV531" s="60"/>
      <c r="AW531" s="60"/>
      <c r="AX531" s="60"/>
      <c r="AY531" s="60"/>
      <c r="AZ531" s="60"/>
    </row>
    <row r="532" ht="13.5" spans="1:52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0"/>
      <c r="AC532" s="60"/>
      <c r="AD532" s="60"/>
      <c r="AE532" s="60"/>
      <c r="AF532" s="60"/>
      <c r="AG532" s="60"/>
      <c r="AH532" s="60"/>
      <c r="AI532" s="60"/>
      <c r="AJ532" s="60"/>
      <c r="AK532" s="60"/>
      <c r="AL532" s="60"/>
      <c r="AM532" s="60"/>
      <c r="AN532" s="60"/>
      <c r="AO532" s="60"/>
      <c r="AP532" s="60"/>
      <c r="AQ532" s="60"/>
      <c r="AR532" s="60"/>
      <c r="AS532" s="60"/>
      <c r="AT532" s="60"/>
      <c r="AU532" s="60"/>
      <c r="AV532" s="60"/>
      <c r="AW532" s="60"/>
      <c r="AX532" s="60"/>
      <c r="AY532" s="60"/>
      <c r="AZ532" s="60"/>
    </row>
    <row r="533" ht="13.5" spans="1:52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  <c r="AJ533" s="60"/>
      <c r="AK533" s="60"/>
      <c r="AL533" s="60"/>
      <c r="AM533" s="60"/>
      <c r="AN533" s="60"/>
      <c r="AO533" s="60"/>
      <c r="AP533" s="60"/>
      <c r="AQ533" s="60"/>
      <c r="AR533" s="60"/>
      <c r="AS533" s="60"/>
      <c r="AT533" s="60"/>
      <c r="AU533" s="60"/>
      <c r="AV533" s="60"/>
      <c r="AW533" s="60"/>
      <c r="AX533" s="60"/>
      <c r="AY533" s="60"/>
      <c r="AZ533" s="60"/>
    </row>
    <row r="534" ht="13.5" spans="1:52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60"/>
      <c r="AM534" s="60"/>
      <c r="AN534" s="60"/>
      <c r="AO534" s="60"/>
      <c r="AP534" s="60"/>
      <c r="AQ534" s="60"/>
      <c r="AR534" s="60"/>
      <c r="AS534" s="60"/>
      <c r="AT534" s="60"/>
      <c r="AU534" s="60"/>
      <c r="AV534" s="60"/>
      <c r="AW534" s="60"/>
      <c r="AX534" s="60"/>
      <c r="AY534" s="60"/>
      <c r="AZ534" s="60"/>
    </row>
    <row r="535" ht="13.5" spans="1:52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60"/>
      <c r="AM535" s="60"/>
      <c r="AN535" s="60"/>
      <c r="AO535" s="60"/>
      <c r="AP535" s="60"/>
      <c r="AQ535" s="60"/>
      <c r="AR535" s="60"/>
      <c r="AS535" s="60"/>
      <c r="AT535" s="60"/>
      <c r="AU535" s="60"/>
      <c r="AV535" s="60"/>
      <c r="AW535" s="60"/>
      <c r="AX535" s="60"/>
      <c r="AY535" s="60"/>
      <c r="AZ535" s="60"/>
    </row>
    <row r="536" ht="13.5" spans="1:52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60"/>
      <c r="AK536" s="60"/>
      <c r="AL536" s="60"/>
      <c r="AM536" s="60"/>
      <c r="AN536" s="60"/>
      <c r="AO536" s="60"/>
      <c r="AP536" s="60"/>
      <c r="AQ536" s="60"/>
      <c r="AR536" s="60"/>
      <c r="AS536" s="60"/>
      <c r="AT536" s="60"/>
      <c r="AU536" s="60"/>
      <c r="AV536" s="60"/>
      <c r="AW536" s="60"/>
      <c r="AX536" s="60"/>
      <c r="AY536" s="60"/>
      <c r="AZ536" s="60"/>
    </row>
    <row r="537" ht="13.5" spans="1:52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  <c r="AK537" s="60"/>
      <c r="AL537" s="60"/>
      <c r="AM537" s="60"/>
      <c r="AN537" s="60"/>
      <c r="AO537" s="60"/>
      <c r="AP537" s="60"/>
      <c r="AQ537" s="60"/>
      <c r="AR537" s="60"/>
      <c r="AS537" s="60"/>
      <c r="AT537" s="60"/>
      <c r="AU537" s="60"/>
      <c r="AV537" s="60"/>
      <c r="AW537" s="60"/>
      <c r="AX537" s="60"/>
      <c r="AY537" s="60"/>
      <c r="AZ537" s="60"/>
    </row>
    <row r="538" ht="13.5" spans="1:52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  <c r="AK538" s="60"/>
      <c r="AL538" s="60"/>
      <c r="AM538" s="60"/>
      <c r="AN538" s="60"/>
      <c r="AO538" s="60"/>
      <c r="AP538" s="60"/>
      <c r="AQ538" s="60"/>
      <c r="AR538" s="60"/>
      <c r="AS538" s="60"/>
      <c r="AT538" s="60"/>
      <c r="AU538" s="60"/>
      <c r="AV538" s="60"/>
      <c r="AW538" s="60"/>
      <c r="AX538" s="60"/>
      <c r="AY538" s="60"/>
      <c r="AZ538" s="60"/>
    </row>
    <row r="539" ht="13.5" spans="1:52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  <c r="AK539" s="60"/>
      <c r="AL539" s="60"/>
      <c r="AM539" s="60"/>
      <c r="AN539" s="60"/>
      <c r="AO539" s="60"/>
      <c r="AP539" s="60"/>
      <c r="AQ539" s="60"/>
      <c r="AR539" s="60"/>
      <c r="AS539" s="60"/>
      <c r="AT539" s="60"/>
      <c r="AU539" s="60"/>
      <c r="AV539" s="60"/>
      <c r="AW539" s="60"/>
      <c r="AX539" s="60"/>
      <c r="AY539" s="60"/>
      <c r="AZ539" s="60"/>
    </row>
    <row r="540" ht="13.5" spans="1:52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60"/>
      <c r="AL540" s="60"/>
      <c r="AM540" s="60"/>
      <c r="AN540" s="60"/>
      <c r="AO540" s="60"/>
      <c r="AP540" s="60"/>
      <c r="AQ540" s="60"/>
      <c r="AR540" s="60"/>
      <c r="AS540" s="60"/>
      <c r="AT540" s="60"/>
      <c r="AU540" s="60"/>
      <c r="AV540" s="60"/>
      <c r="AW540" s="60"/>
      <c r="AX540" s="60"/>
      <c r="AY540" s="60"/>
      <c r="AZ540" s="60"/>
    </row>
    <row r="541" ht="13.5" spans="1:52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  <c r="AK541" s="60"/>
      <c r="AL541" s="60"/>
      <c r="AM541" s="60"/>
      <c r="AN541" s="60"/>
      <c r="AO541" s="60"/>
      <c r="AP541" s="60"/>
      <c r="AQ541" s="60"/>
      <c r="AR541" s="60"/>
      <c r="AS541" s="60"/>
      <c r="AT541" s="60"/>
      <c r="AU541" s="60"/>
      <c r="AV541" s="60"/>
      <c r="AW541" s="60"/>
      <c r="AX541" s="60"/>
      <c r="AY541" s="60"/>
      <c r="AZ541" s="60"/>
    </row>
    <row r="542" ht="13.5" spans="1:52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  <c r="AK542" s="60"/>
      <c r="AL542" s="60"/>
      <c r="AM542" s="60"/>
      <c r="AN542" s="60"/>
      <c r="AO542" s="60"/>
      <c r="AP542" s="60"/>
      <c r="AQ542" s="60"/>
      <c r="AR542" s="60"/>
      <c r="AS542" s="60"/>
      <c r="AT542" s="60"/>
      <c r="AU542" s="60"/>
      <c r="AV542" s="60"/>
      <c r="AW542" s="60"/>
      <c r="AX542" s="60"/>
      <c r="AY542" s="60"/>
      <c r="AZ542" s="60"/>
    </row>
    <row r="543" ht="13.5" spans="1:52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  <c r="AL543" s="60"/>
      <c r="AM543" s="60"/>
      <c r="AN543" s="60"/>
      <c r="AO543" s="60"/>
      <c r="AP543" s="60"/>
      <c r="AQ543" s="60"/>
      <c r="AR543" s="60"/>
      <c r="AS543" s="60"/>
      <c r="AT543" s="60"/>
      <c r="AU543" s="60"/>
      <c r="AV543" s="60"/>
      <c r="AW543" s="60"/>
      <c r="AX543" s="60"/>
      <c r="AY543" s="60"/>
      <c r="AZ543" s="60"/>
    </row>
    <row r="544" ht="13.5" spans="1:52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  <c r="AK544" s="60"/>
      <c r="AL544" s="60"/>
      <c r="AM544" s="60"/>
      <c r="AN544" s="60"/>
      <c r="AO544" s="60"/>
      <c r="AP544" s="60"/>
      <c r="AQ544" s="60"/>
      <c r="AR544" s="60"/>
      <c r="AS544" s="60"/>
      <c r="AT544" s="60"/>
      <c r="AU544" s="60"/>
      <c r="AV544" s="60"/>
      <c r="AW544" s="60"/>
      <c r="AX544" s="60"/>
      <c r="AY544" s="60"/>
      <c r="AZ544" s="60"/>
    </row>
    <row r="545" ht="13.5" spans="1:52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  <c r="AK545" s="60"/>
      <c r="AL545" s="60"/>
      <c r="AM545" s="60"/>
      <c r="AN545" s="60"/>
      <c r="AO545" s="60"/>
      <c r="AP545" s="60"/>
      <c r="AQ545" s="60"/>
      <c r="AR545" s="60"/>
      <c r="AS545" s="60"/>
      <c r="AT545" s="60"/>
      <c r="AU545" s="60"/>
      <c r="AV545" s="60"/>
      <c r="AW545" s="60"/>
      <c r="AX545" s="60"/>
      <c r="AY545" s="60"/>
      <c r="AZ545" s="60"/>
    </row>
    <row r="546" ht="13.5" spans="1:52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60"/>
      <c r="AK546" s="60"/>
      <c r="AL546" s="60"/>
      <c r="AM546" s="60"/>
      <c r="AN546" s="60"/>
      <c r="AO546" s="60"/>
      <c r="AP546" s="60"/>
      <c r="AQ546" s="60"/>
      <c r="AR546" s="60"/>
      <c r="AS546" s="60"/>
      <c r="AT546" s="60"/>
      <c r="AU546" s="60"/>
      <c r="AV546" s="60"/>
      <c r="AW546" s="60"/>
      <c r="AX546" s="60"/>
      <c r="AY546" s="60"/>
      <c r="AZ546" s="60"/>
    </row>
    <row r="547" ht="13.5" spans="1:52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60"/>
      <c r="AK547" s="60"/>
      <c r="AL547" s="60"/>
      <c r="AM547" s="60"/>
      <c r="AN547" s="60"/>
      <c r="AO547" s="60"/>
      <c r="AP547" s="60"/>
      <c r="AQ547" s="60"/>
      <c r="AR547" s="60"/>
      <c r="AS547" s="60"/>
      <c r="AT547" s="60"/>
      <c r="AU547" s="60"/>
      <c r="AV547" s="60"/>
      <c r="AW547" s="60"/>
      <c r="AX547" s="60"/>
      <c r="AY547" s="60"/>
      <c r="AZ547" s="60"/>
    </row>
    <row r="548" ht="13.5" spans="1:52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  <c r="AK548" s="60"/>
      <c r="AL548" s="60"/>
      <c r="AM548" s="60"/>
      <c r="AN548" s="60"/>
      <c r="AO548" s="60"/>
      <c r="AP548" s="60"/>
      <c r="AQ548" s="60"/>
      <c r="AR548" s="60"/>
      <c r="AS548" s="60"/>
      <c r="AT548" s="60"/>
      <c r="AU548" s="60"/>
      <c r="AV548" s="60"/>
      <c r="AW548" s="60"/>
      <c r="AX548" s="60"/>
      <c r="AY548" s="60"/>
      <c r="AZ548" s="60"/>
    </row>
    <row r="549" ht="13.5" spans="1:52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60"/>
      <c r="AK549" s="60"/>
      <c r="AL549" s="60"/>
      <c r="AM549" s="60"/>
      <c r="AN549" s="60"/>
      <c r="AO549" s="60"/>
      <c r="AP549" s="60"/>
      <c r="AQ549" s="60"/>
      <c r="AR549" s="60"/>
      <c r="AS549" s="60"/>
      <c r="AT549" s="60"/>
      <c r="AU549" s="60"/>
      <c r="AV549" s="60"/>
      <c r="AW549" s="60"/>
      <c r="AX549" s="60"/>
      <c r="AY549" s="60"/>
      <c r="AZ549" s="60"/>
    </row>
    <row r="550" ht="13.5" spans="1:52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  <c r="AK550" s="60"/>
      <c r="AL550" s="60"/>
      <c r="AM550" s="60"/>
      <c r="AN550" s="60"/>
      <c r="AO550" s="60"/>
      <c r="AP550" s="60"/>
      <c r="AQ550" s="60"/>
      <c r="AR550" s="60"/>
      <c r="AS550" s="60"/>
      <c r="AT550" s="60"/>
      <c r="AU550" s="60"/>
      <c r="AV550" s="60"/>
      <c r="AW550" s="60"/>
      <c r="AX550" s="60"/>
      <c r="AY550" s="60"/>
      <c r="AZ550" s="60"/>
    </row>
    <row r="551" ht="13.5" spans="1:52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60"/>
      <c r="AK551" s="60"/>
      <c r="AL551" s="60"/>
      <c r="AM551" s="60"/>
      <c r="AN551" s="60"/>
      <c r="AO551" s="60"/>
      <c r="AP551" s="60"/>
      <c r="AQ551" s="60"/>
      <c r="AR551" s="60"/>
      <c r="AS551" s="60"/>
      <c r="AT551" s="60"/>
      <c r="AU551" s="60"/>
      <c r="AV551" s="60"/>
      <c r="AW551" s="60"/>
      <c r="AX551" s="60"/>
      <c r="AY551" s="60"/>
      <c r="AZ551" s="60"/>
    </row>
    <row r="552" ht="13.5" spans="1:52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  <c r="AJ552" s="60"/>
      <c r="AK552" s="60"/>
      <c r="AL552" s="60"/>
      <c r="AM552" s="60"/>
      <c r="AN552" s="60"/>
      <c r="AO552" s="60"/>
      <c r="AP552" s="60"/>
      <c r="AQ552" s="60"/>
      <c r="AR552" s="60"/>
      <c r="AS552" s="60"/>
      <c r="AT552" s="60"/>
      <c r="AU552" s="60"/>
      <c r="AV552" s="60"/>
      <c r="AW552" s="60"/>
      <c r="AX552" s="60"/>
      <c r="AY552" s="60"/>
      <c r="AZ552" s="60"/>
    </row>
    <row r="553" ht="13.5" spans="1:52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  <c r="AK553" s="60"/>
      <c r="AL553" s="60"/>
      <c r="AM553" s="60"/>
      <c r="AN553" s="60"/>
      <c r="AO553" s="60"/>
      <c r="AP553" s="60"/>
      <c r="AQ553" s="60"/>
      <c r="AR553" s="60"/>
      <c r="AS553" s="60"/>
      <c r="AT553" s="60"/>
      <c r="AU553" s="60"/>
      <c r="AV553" s="60"/>
      <c r="AW553" s="60"/>
      <c r="AX553" s="60"/>
      <c r="AY553" s="60"/>
      <c r="AZ553" s="60"/>
    </row>
    <row r="554" ht="13.5" spans="1:52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  <c r="AJ554" s="60"/>
      <c r="AK554" s="60"/>
      <c r="AL554" s="60"/>
      <c r="AM554" s="60"/>
      <c r="AN554" s="60"/>
      <c r="AO554" s="60"/>
      <c r="AP554" s="60"/>
      <c r="AQ554" s="60"/>
      <c r="AR554" s="60"/>
      <c r="AS554" s="60"/>
      <c r="AT554" s="60"/>
      <c r="AU554" s="60"/>
      <c r="AV554" s="60"/>
      <c r="AW554" s="60"/>
      <c r="AX554" s="60"/>
      <c r="AY554" s="60"/>
      <c r="AZ554" s="60"/>
    </row>
    <row r="555" ht="13.5" spans="1:52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  <c r="AK555" s="60"/>
      <c r="AL555" s="60"/>
      <c r="AM555" s="60"/>
      <c r="AN555" s="60"/>
      <c r="AO555" s="60"/>
      <c r="AP555" s="60"/>
      <c r="AQ555" s="60"/>
      <c r="AR555" s="60"/>
      <c r="AS555" s="60"/>
      <c r="AT555" s="60"/>
      <c r="AU555" s="60"/>
      <c r="AV555" s="60"/>
      <c r="AW555" s="60"/>
      <c r="AX555" s="60"/>
      <c r="AY555" s="60"/>
      <c r="AZ555" s="60"/>
    </row>
    <row r="556" ht="13.5" spans="1:52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  <c r="AJ556" s="60"/>
      <c r="AK556" s="60"/>
      <c r="AL556" s="60"/>
      <c r="AM556" s="60"/>
      <c r="AN556" s="60"/>
      <c r="AO556" s="60"/>
      <c r="AP556" s="60"/>
      <c r="AQ556" s="60"/>
      <c r="AR556" s="60"/>
      <c r="AS556" s="60"/>
      <c r="AT556" s="60"/>
      <c r="AU556" s="60"/>
      <c r="AV556" s="60"/>
      <c r="AW556" s="60"/>
      <c r="AX556" s="60"/>
      <c r="AY556" s="60"/>
      <c r="AZ556" s="60"/>
    </row>
    <row r="557" ht="13.5" spans="1:52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60"/>
      <c r="AK557" s="60"/>
      <c r="AL557" s="60"/>
      <c r="AM557" s="60"/>
      <c r="AN557" s="60"/>
      <c r="AO557" s="60"/>
      <c r="AP557" s="60"/>
      <c r="AQ557" s="60"/>
      <c r="AR557" s="60"/>
      <c r="AS557" s="60"/>
      <c r="AT557" s="60"/>
      <c r="AU557" s="60"/>
      <c r="AV557" s="60"/>
      <c r="AW557" s="60"/>
      <c r="AX557" s="60"/>
      <c r="AY557" s="60"/>
      <c r="AZ557" s="60"/>
    </row>
    <row r="558" ht="13.5" spans="1:52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60"/>
      <c r="AK558" s="60"/>
      <c r="AL558" s="60"/>
      <c r="AM558" s="60"/>
      <c r="AN558" s="60"/>
      <c r="AO558" s="60"/>
      <c r="AP558" s="60"/>
      <c r="AQ558" s="60"/>
      <c r="AR558" s="60"/>
      <c r="AS558" s="60"/>
      <c r="AT558" s="60"/>
      <c r="AU558" s="60"/>
      <c r="AV558" s="60"/>
      <c r="AW558" s="60"/>
      <c r="AX558" s="60"/>
      <c r="AY558" s="60"/>
      <c r="AZ558" s="60"/>
    </row>
    <row r="559" ht="13.5" spans="1:52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  <c r="AK559" s="60"/>
      <c r="AL559" s="60"/>
      <c r="AM559" s="60"/>
      <c r="AN559" s="60"/>
      <c r="AO559" s="60"/>
      <c r="AP559" s="60"/>
      <c r="AQ559" s="60"/>
      <c r="AR559" s="60"/>
      <c r="AS559" s="60"/>
      <c r="AT559" s="60"/>
      <c r="AU559" s="60"/>
      <c r="AV559" s="60"/>
      <c r="AW559" s="60"/>
      <c r="AX559" s="60"/>
      <c r="AY559" s="60"/>
      <c r="AZ559" s="60"/>
    </row>
    <row r="560" ht="13.5" spans="1:52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  <c r="AB560" s="60"/>
      <c r="AC560" s="60"/>
      <c r="AD560" s="60"/>
      <c r="AE560" s="60"/>
      <c r="AF560" s="60"/>
      <c r="AG560" s="60"/>
      <c r="AH560" s="60"/>
      <c r="AI560" s="60"/>
      <c r="AJ560" s="60"/>
      <c r="AK560" s="60"/>
      <c r="AL560" s="60"/>
      <c r="AM560" s="60"/>
      <c r="AN560" s="60"/>
      <c r="AO560" s="60"/>
      <c r="AP560" s="60"/>
      <c r="AQ560" s="60"/>
      <c r="AR560" s="60"/>
      <c r="AS560" s="60"/>
      <c r="AT560" s="60"/>
      <c r="AU560" s="60"/>
      <c r="AV560" s="60"/>
      <c r="AW560" s="60"/>
      <c r="AX560" s="60"/>
      <c r="AY560" s="60"/>
      <c r="AZ560" s="60"/>
    </row>
    <row r="561" ht="13.5" spans="1:52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  <c r="AB561" s="60"/>
      <c r="AC561" s="60"/>
      <c r="AD561" s="60"/>
      <c r="AE561" s="60"/>
      <c r="AF561" s="60"/>
      <c r="AG561" s="60"/>
      <c r="AH561" s="60"/>
      <c r="AI561" s="60"/>
      <c r="AJ561" s="60"/>
      <c r="AK561" s="60"/>
      <c r="AL561" s="60"/>
      <c r="AM561" s="60"/>
      <c r="AN561" s="60"/>
      <c r="AO561" s="60"/>
      <c r="AP561" s="60"/>
      <c r="AQ561" s="60"/>
      <c r="AR561" s="60"/>
      <c r="AS561" s="60"/>
      <c r="AT561" s="60"/>
      <c r="AU561" s="60"/>
      <c r="AV561" s="60"/>
      <c r="AW561" s="60"/>
      <c r="AX561" s="60"/>
      <c r="AY561" s="60"/>
      <c r="AZ561" s="60"/>
    </row>
    <row r="562" ht="13.5" spans="1:52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  <c r="AB562" s="60"/>
      <c r="AC562" s="60"/>
      <c r="AD562" s="60"/>
      <c r="AE562" s="60"/>
      <c r="AF562" s="60"/>
      <c r="AG562" s="60"/>
      <c r="AH562" s="60"/>
      <c r="AI562" s="60"/>
      <c r="AJ562" s="60"/>
      <c r="AK562" s="60"/>
      <c r="AL562" s="60"/>
      <c r="AM562" s="60"/>
      <c r="AN562" s="60"/>
      <c r="AO562" s="60"/>
      <c r="AP562" s="60"/>
      <c r="AQ562" s="60"/>
      <c r="AR562" s="60"/>
      <c r="AS562" s="60"/>
      <c r="AT562" s="60"/>
      <c r="AU562" s="60"/>
      <c r="AV562" s="60"/>
      <c r="AW562" s="60"/>
      <c r="AX562" s="60"/>
      <c r="AY562" s="60"/>
      <c r="AZ562" s="60"/>
    </row>
    <row r="563" ht="13.5" spans="1:52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  <c r="AJ563" s="60"/>
      <c r="AK563" s="60"/>
      <c r="AL563" s="60"/>
      <c r="AM563" s="60"/>
      <c r="AN563" s="60"/>
      <c r="AO563" s="60"/>
      <c r="AP563" s="60"/>
      <c r="AQ563" s="60"/>
      <c r="AR563" s="60"/>
      <c r="AS563" s="60"/>
      <c r="AT563" s="60"/>
      <c r="AU563" s="60"/>
      <c r="AV563" s="60"/>
      <c r="AW563" s="60"/>
      <c r="AX563" s="60"/>
      <c r="AY563" s="60"/>
      <c r="AZ563" s="60"/>
    </row>
    <row r="564" ht="13.5" spans="1:52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  <c r="AB564" s="60"/>
      <c r="AC564" s="60"/>
      <c r="AD564" s="60"/>
      <c r="AE564" s="60"/>
      <c r="AF564" s="60"/>
      <c r="AG564" s="60"/>
      <c r="AH564" s="60"/>
      <c r="AI564" s="60"/>
      <c r="AJ564" s="60"/>
      <c r="AK564" s="60"/>
      <c r="AL564" s="60"/>
      <c r="AM564" s="60"/>
      <c r="AN564" s="60"/>
      <c r="AO564" s="60"/>
      <c r="AP564" s="60"/>
      <c r="AQ564" s="60"/>
      <c r="AR564" s="60"/>
      <c r="AS564" s="60"/>
      <c r="AT564" s="60"/>
      <c r="AU564" s="60"/>
      <c r="AV564" s="60"/>
      <c r="AW564" s="60"/>
      <c r="AX564" s="60"/>
      <c r="AY564" s="60"/>
      <c r="AZ564" s="60"/>
    </row>
    <row r="565" ht="13.5" spans="1:52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60"/>
      <c r="AL565" s="60"/>
      <c r="AM565" s="60"/>
      <c r="AN565" s="60"/>
      <c r="AO565" s="60"/>
      <c r="AP565" s="60"/>
      <c r="AQ565" s="60"/>
      <c r="AR565" s="60"/>
      <c r="AS565" s="60"/>
      <c r="AT565" s="60"/>
      <c r="AU565" s="60"/>
      <c r="AV565" s="60"/>
      <c r="AW565" s="60"/>
      <c r="AX565" s="60"/>
      <c r="AY565" s="60"/>
      <c r="AZ565" s="60"/>
    </row>
    <row r="566" ht="13.5" spans="1:52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  <c r="AL566" s="60"/>
      <c r="AM566" s="60"/>
      <c r="AN566" s="60"/>
      <c r="AO566" s="60"/>
      <c r="AP566" s="60"/>
      <c r="AQ566" s="60"/>
      <c r="AR566" s="60"/>
      <c r="AS566" s="60"/>
      <c r="AT566" s="60"/>
      <c r="AU566" s="60"/>
      <c r="AV566" s="60"/>
      <c r="AW566" s="60"/>
      <c r="AX566" s="60"/>
      <c r="AY566" s="60"/>
      <c r="AZ566" s="60"/>
    </row>
    <row r="567" ht="13.5" spans="1:52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  <c r="AL567" s="60"/>
      <c r="AM567" s="60"/>
      <c r="AN567" s="60"/>
      <c r="AO567" s="60"/>
      <c r="AP567" s="60"/>
      <c r="AQ567" s="60"/>
      <c r="AR567" s="60"/>
      <c r="AS567" s="60"/>
      <c r="AT567" s="60"/>
      <c r="AU567" s="60"/>
      <c r="AV567" s="60"/>
      <c r="AW567" s="60"/>
      <c r="AX567" s="60"/>
      <c r="AY567" s="60"/>
      <c r="AZ567" s="60"/>
    </row>
    <row r="568" ht="13.5" spans="1:52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  <c r="AJ568" s="60"/>
      <c r="AK568" s="60"/>
      <c r="AL568" s="60"/>
      <c r="AM568" s="60"/>
      <c r="AN568" s="60"/>
      <c r="AO568" s="60"/>
      <c r="AP568" s="60"/>
      <c r="AQ568" s="60"/>
      <c r="AR568" s="60"/>
      <c r="AS568" s="60"/>
      <c r="AT568" s="60"/>
      <c r="AU568" s="60"/>
      <c r="AV568" s="60"/>
      <c r="AW568" s="60"/>
      <c r="AX568" s="60"/>
      <c r="AY568" s="60"/>
      <c r="AZ568" s="60"/>
    </row>
    <row r="569" ht="13.5" spans="1:52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  <c r="AB569" s="60"/>
      <c r="AC569" s="60"/>
      <c r="AD569" s="60"/>
      <c r="AE569" s="60"/>
      <c r="AF569" s="60"/>
      <c r="AG569" s="60"/>
      <c r="AH569" s="60"/>
      <c r="AI569" s="60"/>
      <c r="AJ569" s="60"/>
      <c r="AK569" s="60"/>
      <c r="AL569" s="60"/>
      <c r="AM569" s="60"/>
      <c r="AN569" s="60"/>
      <c r="AO569" s="60"/>
      <c r="AP569" s="60"/>
      <c r="AQ569" s="60"/>
      <c r="AR569" s="60"/>
      <c r="AS569" s="60"/>
      <c r="AT569" s="60"/>
      <c r="AU569" s="60"/>
      <c r="AV569" s="60"/>
      <c r="AW569" s="60"/>
      <c r="AX569" s="60"/>
      <c r="AY569" s="60"/>
      <c r="AZ569" s="60"/>
    </row>
    <row r="570" ht="13.5" spans="1:52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  <c r="AB570" s="60"/>
      <c r="AC570" s="60"/>
      <c r="AD570" s="60"/>
      <c r="AE570" s="60"/>
      <c r="AF570" s="60"/>
      <c r="AG570" s="60"/>
      <c r="AH570" s="60"/>
      <c r="AI570" s="60"/>
      <c r="AJ570" s="60"/>
      <c r="AK570" s="60"/>
      <c r="AL570" s="60"/>
      <c r="AM570" s="60"/>
      <c r="AN570" s="60"/>
      <c r="AO570" s="60"/>
      <c r="AP570" s="60"/>
      <c r="AQ570" s="60"/>
      <c r="AR570" s="60"/>
      <c r="AS570" s="60"/>
      <c r="AT570" s="60"/>
      <c r="AU570" s="60"/>
      <c r="AV570" s="60"/>
      <c r="AW570" s="60"/>
      <c r="AX570" s="60"/>
      <c r="AY570" s="60"/>
      <c r="AZ570" s="60"/>
    </row>
    <row r="571" ht="13.5" spans="1:52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0"/>
      <c r="AC571" s="60"/>
      <c r="AD571" s="60"/>
      <c r="AE571" s="60"/>
      <c r="AF571" s="60"/>
      <c r="AG571" s="60"/>
      <c r="AH571" s="60"/>
      <c r="AI571" s="60"/>
      <c r="AJ571" s="60"/>
      <c r="AK571" s="60"/>
      <c r="AL571" s="60"/>
      <c r="AM571" s="60"/>
      <c r="AN571" s="60"/>
      <c r="AO571" s="60"/>
      <c r="AP571" s="60"/>
      <c r="AQ571" s="60"/>
      <c r="AR571" s="60"/>
      <c r="AS571" s="60"/>
      <c r="AT571" s="60"/>
      <c r="AU571" s="60"/>
      <c r="AV571" s="60"/>
      <c r="AW571" s="60"/>
      <c r="AX571" s="60"/>
      <c r="AY571" s="60"/>
      <c r="AZ571" s="60"/>
    </row>
    <row r="572" ht="13.5" spans="1:52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  <c r="AB572" s="60"/>
      <c r="AC572" s="60"/>
      <c r="AD572" s="60"/>
      <c r="AE572" s="60"/>
      <c r="AF572" s="60"/>
      <c r="AG572" s="60"/>
      <c r="AH572" s="60"/>
      <c r="AI572" s="60"/>
      <c r="AJ572" s="60"/>
      <c r="AK572" s="60"/>
      <c r="AL572" s="60"/>
      <c r="AM572" s="60"/>
      <c r="AN572" s="60"/>
      <c r="AO572" s="60"/>
      <c r="AP572" s="60"/>
      <c r="AQ572" s="60"/>
      <c r="AR572" s="60"/>
      <c r="AS572" s="60"/>
      <c r="AT572" s="60"/>
      <c r="AU572" s="60"/>
      <c r="AV572" s="60"/>
      <c r="AW572" s="60"/>
      <c r="AX572" s="60"/>
      <c r="AY572" s="60"/>
      <c r="AZ572" s="60"/>
    </row>
    <row r="573" ht="13.5" spans="1:52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  <c r="AB573" s="60"/>
      <c r="AC573" s="60"/>
      <c r="AD573" s="60"/>
      <c r="AE573" s="60"/>
      <c r="AF573" s="60"/>
      <c r="AG573" s="60"/>
      <c r="AH573" s="60"/>
      <c r="AI573" s="60"/>
      <c r="AJ573" s="60"/>
      <c r="AK573" s="60"/>
      <c r="AL573" s="60"/>
      <c r="AM573" s="60"/>
      <c r="AN573" s="60"/>
      <c r="AO573" s="60"/>
      <c r="AP573" s="60"/>
      <c r="AQ573" s="60"/>
      <c r="AR573" s="60"/>
      <c r="AS573" s="60"/>
      <c r="AT573" s="60"/>
      <c r="AU573" s="60"/>
      <c r="AV573" s="60"/>
      <c r="AW573" s="60"/>
      <c r="AX573" s="60"/>
      <c r="AY573" s="60"/>
      <c r="AZ573" s="60"/>
    </row>
    <row r="574" ht="13.5" spans="1:52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60"/>
      <c r="AK574" s="60"/>
      <c r="AL574" s="60"/>
      <c r="AM574" s="60"/>
      <c r="AN574" s="60"/>
      <c r="AO574" s="60"/>
      <c r="AP574" s="60"/>
      <c r="AQ574" s="60"/>
      <c r="AR574" s="60"/>
      <c r="AS574" s="60"/>
      <c r="AT574" s="60"/>
      <c r="AU574" s="60"/>
      <c r="AV574" s="60"/>
      <c r="AW574" s="60"/>
      <c r="AX574" s="60"/>
      <c r="AY574" s="60"/>
      <c r="AZ574" s="60"/>
    </row>
    <row r="575" ht="13.5" spans="1:52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  <c r="AK575" s="60"/>
      <c r="AL575" s="60"/>
      <c r="AM575" s="60"/>
      <c r="AN575" s="60"/>
      <c r="AO575" s="60"/>
      <c r="AP575" s="60"/>
      <c r="AQ575" s="60"/>
      <c r="AR575" s="60"/>
      <c r="AS575" s="60"/>
      <c r="AT575" s="60"/>
      <c r="AU575" s="60"/>
      <c r="AV575" s="60"/>
      <c r="AW575" s="60"/>
      <c r="AX575" s="60"/>
      <c r="AY575" s="60"/>
      <c r="AZ575" s="60"/>
    </row>
    <row r="576" ht="13.5" spans="1:52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0"/>
      <c r="AC576" s="60"/>
      <c r="AD576" s="60"/>
      <c r="AE576" s="60"/>
      <c r="AF576" s="60"/>
      <c r="AG576" s="60"/>
      <c r="AH576" s="60"/>
      <c r="AI576" s="60"/>
      <c r="AJ576" s="60"/>
      <c r="AK576" s="60"/>
      <c r="AL576" s="60"/>
      <c r="AM576" s="60"/>
      <c r="AN576" s="60"/>
      <c r="AO576" s="60"/>
      <c r="AP576" s="60"/>
      <c r="AQ576" s="60"/>
      <c r="AR576" s="60"/>
      <c r="AS576" s="60"/>
      <c r="AT576" s="60"/>
      <c r="AU576" s="60"/>
      <c r="AV576" s="60"/>
      <c r="AW576" s="60"/>
      <c r="AX576" s="60"/>
      <c r="AY576" s="60"/>
      <c r="AZ576" s="60"/>
    </row>
    <row r="577" ht="13.5" spans="1:52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0"/>
      <c r="AC577" s="60"/>
      <c r="AD577" s="60"/>
      <c r="AE577" s="60"/>
      <c r="AF577" s="60"/>
      <c r="AG577" s="60"/>
      <c r="AH577" s="60"/>
      <c r="AI577" s="60"/>
      <c r="AJ577" s="60"/>
      <c r="AK577" s="60"/>
      <c r="AL577" s="60"/>
      <c r="AM577" s="60"/>
      <c r="AN577" s="60"/>
      <c r="AO577" s="60"/>
      <c r="AP577" s="60"/>
      <c r="AQ577" s="60"/>
      <c r="AR577" s="60"/>
      <c r="AS577" s="60"/>
      <c r="AT577" s="60"/>
      <c r="AU577" s="60"/>
      <c r="AV577" s="60"/>
      <c r="AW577" s="60"/>
      <c r="AX577" s="60"/>
      <c r="AY577" s="60"/>
      <c r="AZ577" s="60"/>
    </row>
    <row r="578" ht="13.5" spans="1:52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  <c r="AJ578" s="60"/>
      <c r="AK578" s="60"/>
      <c r="AL578" s="60"/>
      <c r="AM578" s="60"/>
      <c r="AN578" s="60"/>
      <c r="AO578" s="60"/>
      <c r="AP578" s="60"/>
      <c r="AQ578" s="60"/>
      <c r="AR578" s="60"/>
      <c r="AS578" s="60"/>
      <c r="AT578" s="60"/>
      <c r="AU578" s="60"/>
      <c r="AV578" s="60"/>
      <c r="AW578" s="60"/>
      <c r="AX578" s="60"/>
      <c r="AY578" s="60"/>
      <c r="AZ578" s="60"/>
    </row>
    <row r="579" ht="13.5" spans="1:52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  <c r="AJ579" s="60"/>
      <c r="AK579" s="60"/>
      <c r="AL579" s="60"/>
      <c r="AM579" s="60"/>
      <c r="AN579" s="60"/>
      <c r="AO579" s="60"/>
      <c r="AP579" s="60"/>
      <c r="AQ579" s="60"/>
      <c r="AR579" s="60"/>
      <c r="AS579" s="60"/>
      <c r="AT579" s="60"/>
      <c r="AU579" s="60"/>
      <c r="AV579" s="60"/>
      <c r="AW579" s="60"/>
      <c r="AX579" s="60"/>
      <c r="AY579" s="60"/>
      <c r="AZ579" s="60"/>
    </row>
    <row r="580" ht="13.5" spans="1:52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0"/>
      <c r="AC580" s="60"/>
      <c r="AD580" s="60"/>
      <c r="AE580" s="60"/>
      <c r="AF580" s="60"/>
      <c r="AG580" s="60"/>
      <c r="AH580" s="60"/>
      <c r="AI580" s="60"/>
      <c r="AJ580" s="60"/>
      <c r="AK580" s="60"/>
      <c r="AL580" s="60"/>
      <c r="AM580" s="60"/>
      <c r="AN580" s="60"/>
      <c r="AO580" s="60"/>
      <c r="AP580" s="60"/>
      <c r="AQ580" s="60"/>
      <c r="AR580" s="60"/>
      <c r="AS580" s="60"/>
      <c r="AT580" s="60"/>
      <c r="AU580" s="60"/>
      <c r="AV580" s="60"/>
      <c r="AW580" s="60"/>
      <c r="AX580" s="60"/>
      <c r="AY580" s="60"/>
      <c r="AZ580" s="60"/>
    </row>
    <row r="581" ht="13.5" spans="1:52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0"/>
      <c r="AC581" s="60"/>
      <c r="AD581" s="60"/>
      <c r="AE581" s="60"/>
      <c r="AF581" s="60"/>
      <c r="AG581" s="60"/>
      <c r="AH581" s="60"/>
      <c r="AI581" s="60"/>
      <c r="AJ581" s="60"/>
      <c r="AK581" s="60"/>
      <c r="AL581" s="60"/>
      <c r="AM581" s="60"/>
      <c r="AN581" s="60"/>
      <c r="AO581" s="60"/>
      <c r="AP581" s="60"/>
      <c r="AQ581" s="60"/>
      <c r="AR581" s="60"/>
      <c r="AS581" s="60"/>
      <c r="AT581" s="60"/>
      <c r="AU581" s="60"/>
      <c r="AV581" s="60"/>
      <c r="AW581" s="60"/>
      <c r="AX581" s="60"/>
      <c r="AY581" s="60"/>
      <c r="AZ581" s="60"/>
    </row>
    <row r="582" ht="13.5" spans="1:52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  <c r="AJ582" s="60"/>
      <c r="AK582" s="60"/>
      <c r="AL582" s="60"/>
      <c r="AM582" s="60"/>
      <c r="AN582" s="60"/>
      <c r="AO582" s="60"/>
      <c r="AP582" s="60"/>
      <c r="AQ582" s="60"/>
      <c r="AR582" s="60"/>
      <c r="AS582" s="60"/>
      <c r="AT582" s="60"/>
      <c r="AU582" s="60"/>
      <c r="AV582" s="60"/>
      <c r="AW582" s="60"/>
      <c r="AX582" s="60"/>
      <c r="AY582" s="60"/>
      <c r="AZ582" s="60"/>
    </row>
    <row r="583" ht="13.5" spans="1:52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60"/>
      <c r="AK583" s="60"/>
      <c r="AL583" s="60"/>
      <c r="AM583" s="60"/>
      <c r="AN583" s="60"/>
      <c r="AO583" s="60"/>
      <c r="AP583" s="60"/>
      <c r="AQ583" s="60"/>
      <c r="AR583" s="60"/>
      <c r="AS583" s="60"/>
      <c r="AT583" s="60"/>
      <c r="AU583" s="60"/>
      <c r="AV583" s="60"/>
      <c r="AW583" s="60"/>
      <c r="AX583" s="60"/>
      <c r="AY583" s="60"/>
      <c r="AZ583" s="60"/>
    </row>
    <row r="584" ht="13.5" spans="1:52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  <c r="AC584" s="60"/>
      <c r="AD584" s="60"/>
      <c r="AE584" s="60"/>
      <c r="AF584" s="60"/>
      <c r="AG584" s="60"/>
      <c r="AH584" s="60"/>
      <c r="AI584" s="60"/>
      <c r="AJ584" s="60"/>
      <c r="AK584" s="60"/>
      <c r="AL584" s="60"/>
      <c r="AM584" s="60"/>
      <c r="AN584" s="60"/>
      <c r="AO584" s="60"/>
      <c r="AP584" s="60"/>
      <c r="AQ584" s="60"/>
      <c r="AR584" s="60"/>
      <c r="AS584" s="60"/>
      <c r="AT584" s="60"/>
      <c r="AU584" s="60"/>
      <c r="AV584" s="60"/>
      <c r="AW584" s="60"/>
      <c r="AX584" s="60"/>
      <c r="AY584" s="60"/>
      <c r="AZ584" s="60"/>
    </row>
    <row r="585" ht="13.5" spans="1:52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0"/>
      <c r="AC585" s="60"/>
      <c r="AD585" s="60"/>
      <c r="AE585" s="60"/>
      <c r="AF585" s="60"/>
      <c r="AG585" s="60"/>
      <c r="AH585" s="60"/>
      <c r="AI585" s="60"/>
      <c r="AJ585" s="60"/>
      <c r="AK585" s="60"/>
      <c r="AL585" s="60"/>
      <c r="AM585" s="60"/>
      <c r="AN585" s="60"/>
      <c r="AO585" s="60"/>
      <c r="AP585" s="60"/>
      <c r="AQ585" s="60"/>
      <c r="AR585" s="60"/>
      <c r="AS585" s="60"/>
      <c r="AT585" s="60"/>
      <c r="AU585" s="60"/>
      <c r="AV585" s="60"/>
      <c r="AW585" s="60"/>
      <c r="AX585" s="60"/>
      <c r="AY585" s="60"/>
      <c r="AZ585" s="60"/>
    </row>
    <row r="586" ht="13.5" spans="1:52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  <c r="AB586" s="60"/>
      <c r="AC586" s="60"/>
      <c r="AD586" s="60"/>
      <c r="AE586" s="60"/>
      <c r="AF586" s="60"/>
      <c r="AG586" s="60"/>
      <c r="AH586" s="60"/>
      <c r="AI586" s="60"/>
      <c r="AJ586" s="60"/>
      <c r="AK586" s="60"/>
      <c r="AL586" s="60"/>
      <c r="AM586" s="60"/>
      <c r="AN586" s="60"/>
      <c r="AO586" s="60"/>
      <c r="AP586" s="60"/>
      <c r="AQ586" s="60"/>
      <c r="AR586" s="60"/>
      <c r="AS586" s="60"/>
      <c r="AT586" s="60"/>
      <c r="AU586" s="60"/>
      <c r="AV586" s="60"/>
      <c r="AW586" s="60"/>
      <c r="AX586" s="60"/>
      <c r="AY586" s="60"/>
      <c r="AZ586" s="60"/>
    </row>
    <row r="587" ht="13.5" spans="1:52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  <c r="AB587" s="60"/>
      <c r="AC587" s="60"/>
      <c r="AD587" s="60"/>
      <c r="AE587" s="60"/>
      <c r="AF587" s="60"/>
      <c r="AG587" s="60"/>
      <c r="AH587" s="60"/>
      <c r="AI587" s="60"/>
      <c r="AJ587" s="60"/>
      <c r="AK587" s="60"/>
      <c r="AL587" s="60"/>
      <c r="AM587" s="60"/>
      <c r="AN587" s="60"/>
      <c r="AO587" s="60"/>
      <c r="AP587" s="60"/>
      <c r="AQ587" s="60"/>
      <c r="AR587" s="60"/>
      <c r="AS587" s="60"/>
      <c r="AT587" s="60"/>
      <c r="AU587" s="60"/>
      <c r="AV587" s="60"/>
      <c r="AW587" s="60"/>
      <c r="AX587" s="60"/>
      <c r="AY587" s="60"/>
      <c r="AZ587" s="60"/>
    </row>
    <row r="588" ht="13.5" spans="1:52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  <c r="AB588" s="60"/>
      <c r="AC588" s="60"/>
      <c r="AD588" s="60"/>
      <c r="AE588" s="60"/>
      <c r="AF588" s="60"/>
      <c r="AG588" s="60"/>
      <c r="AH588" s="60"/>
      <c r="AI588" s="60"/>
      <c r="AJ588" s="60"/>
      <c r="AK588" s="60"/>
      <c r="AL588" s="60"/>
      <c r="AM588" s="60"/>
      <c r="AN588" s="60"/>
      <c r="AO588" s="60"/>
      <c r="AP588" s="60"/>
      <c r="AQ588" s="60"/>
      <c r="AR588" s="60"/>
      <c r="AS588" s="60"/>
      <c r="AT588" s="60"/>
      <c r="AU588" s="60"/>
      <c r="AV588" s="60"/>
      <c r="AW588" s="60"/>
      <c r="AX588" s="60"/>
      <c r="AY588" s="60"/>
      <c r="AZ588" s="60"/>
    </row>
    <row r="589" ht="13.5" spans="1:52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0"/>
      <c r="AC589" s="60"/>
      <c r="AD589" s="60"/>
      <c r="AE589" s="60"/>
      <c r="AF589" s="60"/>
      <c r="AG589" s="60"/>
      <c r="AH589" s="60"/>
      <c r="AI589" s="60"/>
      <c r="AJ589" s="60"/>
      <c r="AK589" s="60"/>
      <c r="AL589" s="60"/>
      <c r="AM589" s="60"/>
      <c r="AN589" s="60"/>
      <c r="AO589" s="60"/>
      <c r="AP589" s="60"/>
      <c r="AQ589" s="60"/>
      <c r="AR589" s="60"/>
      <c r="AS589" s="60"/>
      <c r="AT589" s="60"/>
      <c r="AU589" s="60"/>
      <c r="AV589" s="60"/>
      <c r="AW589" s="60"/>
      <c r="AX589" s="60"/>
      <c r="AY589" s="60"/>
      <c r="AZ589" s="60"/>
    </row>
    <row r="590" ht="13.5" spans="1:52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0"/>
      <c r="AC590" s="60"/>
      <c r="AD590" s="60"/>
      <c r="AE590" s="60"/>
      <c r="AF590" s="60"/>
      <c r="AG590" s="60"/>
      <c r="AH590" s="60"/>
      <c r="AI590" s="60"/>
      <c r="AJ590" s="60"/>
      <c r="AK590" s="60"/>
      <c r="AL590" s="60"/>
      <c r="AM590" s="60"/>
      <c r="AN590" s="60"/>
      <c r="AO590" s="60"/>
      <c r="AP590" s="60"/>
      <c r="AQ590" s="60"/>
      <c r="AR590" s="60"/>
      <c r="AS590" s="60"/>
      <c r="AT590" s="60"/>
      <c r="AU590" s="60"/>
      <c r="AV590" s="60"/>
      <c r="AW590" s="60"/>
      <c r="AX590" s="60"/>
      <c r="AY590" s="60"/>
      <c r="AZ590" s="60"/>
    </row>
    <row r="591" ht="13.5" spans="1:52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0"/>
      <c r="AC591" s="60"/>
      <c r="AD591" s="60"/>
      <c r="AE591" s="60"/>
      <c r="AF591" s="60"/>
      <c r="AG591" s="60"/>
      <c r="AH591" s="60"/>
      <c r="AI591" s="60"/>
      <c r="AJ591" s="60"/>
      <c r="AK591" s="60"/>
      <c r="AL591" s="60"/>
      <c r="AM591" s="60"/>
      <c r="AN591" s="60"/>
      <c r="AO591" s="60"/>
      <c r="AP591" s="60"/>
      <c r="AQ591" s="60"/>
      <c r="AR591" s="60"/>
      <c r="AS591" s="60"/>
      <c r="AT591" s="60"/>
      <c r="AU591" s="60"/>
      <c r="AV591" s="60"/>
      <c r="AW591" s="60"/>
      <c r="AX591" s="60"/>
      <c r="AY591" s="60"/>
      <c r="AZ591" s="60"/>
    </row>
    <row r="592" ht="13.5" spans="1:52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0"/>
      <c r="AC592" s="60"/>
      <c r="AD592" s="60"/>
      <c r="AE592" s="60"/>
      <c r="AF592" s="60"/>
      <c r="AG592" s="60"/>
      <c r="AH592" s="60"/>
      <c r="AI592" s="60"/>
      <c r="AJ592" s="60"/>
      <c r="AK592" s="60"/>
      <c r="AL592" s="60"/>
      <c r="AM592" s="60"/>
      <c r="AN592" s="60"/>
      <c r="AO592" s="60"/>
      <c r="AP592" s="60"/>
      <c r="AQ592" s="60"/>
      <c r="AR592" s="60"/>
      <c r="AS592" s="60"/>
      <c r="AT592" s="60"/>
      <c r="AU592" s="60"/>
      <c r="AV592" s="60"/>
      <c r="AW592" s="60"/>
      <c r="AX592" s="60"/>
      <c r="AY592" s="60"/>
      <c r="AZ592" s="60"/>
    </row>
    <row r="593" ht="13.5" spans="1:52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0"/>
      <c r="AC593" s="60"/>
      <c r="AD593" s="60"/>
      <c r="AE593" s="60"/>
      <c r="AF593" s="60"/>
      <c r="AG593" s="60"/>
      <c r="AH593" s="60"/>
      <c r="AI593" s="60"/>
      <c r="AJ593" s="60"/>
      <c r="AK593" s="60"/>
      <c r="AL593" s="60"/>
      <c r="AM593" s="60"/>
      <c r="AN593" s="60"/>
      <c r="AO593" s="60"/>
      <c r="AP593" s="60"/>
      <c r="AQ593" s="60"/>
      <c r="AR593" s="60"/>
      <c r="AS593" s="60"/>
      <c r="AT593" s="60"/>
      <c r="AU593" s="60"/>
      <c r="AV593" s="60"/>
      <c r="AW593" s="60"/>
      <c r="AX593" s="60"/>
      <c r="AY593" s="60"/>
      <c r="AZ593" s="60"/>
    </row>
    <row r="594" ht="13.5" spans="1:52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0"/>
      <c r="AC594" s="60"/>
      <c r="AD594" s="60"/>
      <c r="AE594" s="60"/>
      <c r="AF594" s="60"/>
      <c r="AG594" s="60"/>
      <c r="AH594" s="60"/>
      <c r="AI594" s="60"/>
      <c r="AJ594" s="60"/>
      <c r="AK594" s="60"/>
      <c r="AL594" s="60"/>
      <c r="AM594" s="60"/>
      <c r="AN594" s="60"/>
      <c r="AO594" s="60"/>
      <c r="AP594" s="60"/>
      <c r="AQ594" s="60"/>
      <c r="AR594" s="60"/>
      <c r="AS594" s="60"/>
      <c r="AT594" s="60"/>
      <c r="AU594" s="60"/>
      <c r="AV594" s="60"/>
      <c r="AW594" s="60"/>
      <c r="AX594" s="60"/>
      <c r="AY594" s="60"/>
      <c r="AZ594" s="60"/>
    </row>
    <row r="595" ht="13.5" spans="1:52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  <c r="AC595" s="60"/>
      <c r="AD595" s="60"/>
      <c r="AE595" s="60"/>
      <c r="AF595" s="60"/>
      <c r="AG595" s="60"/>
      <c r="AH595" s="60"/>
      <c r="AI595" s="60"/>
      <c r="AJ595" s="60"/>
      <c r="AK595" s="60"/>
      <c r="AL595" s="60"/>
      <c r="AM595" s="60"/>
      <c r="AN595" s="60"/>
      <c r="AO595" s="60"/>
      <c r="AP595" s="60"/>
      <c r="AQ595" s="60"/>
      <c r="AR595" s="60"/>
      <c r="AS595" s="60"/>
      <c r="AT595" s="60"/>
      <c r="AU595" s="60"/>
      <c r="AV595" s="60"/>
      <c r="AW595" s="60"/>
      <c r="AX595" s="60"/>
      <c r="AY595" s="60"/>
      <c r="AZ595" s="60"/>
    </row>
    <row r="596" ht="13.5" spans="1:52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0"/>
      <c r="AC596" s="60"/>
      <c r="AD596" s="60"/>
      <c r="AE596" s="60"/>
      <c r="AF596" s="60"/>
      <c r="AG596" s="60"/>
      <c r="AH596" s="60"/>
      <c r="AI596" s="60"/>
      <c r="AJ596" s="60"/>
      <c r="AK596" s="60"/>
      <c r="AL596" s="60"/>
      <c r="AM596" s="60"/>
      <c r="AN596" s="60"/>
      <c r="AO596" s="60"/>
      <c r="AP596" s="60"/>
      <c r="AQ596" s="60"/>
      <c r="AR596" s="60"/>
      <c r="AS596" s="60"/>
      <c r="AT596" s="60"/>
      <c r="AU596" s="60"/>
      <c r="AV596" s="60"/>
      <c r="AW596" s="60"/>
      <c r="AX596" s="60"/>
      <c r="AY596" s="60"/>
      <c r="AZ596" s="60"/>
    </row>
    <row r="597" ht="13.5" spans="1:52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  <c r="AC597" s="60"/>
      <c r="AD597" s="60"/>
      <c r="AE597" s="60"/>
      <c r="AF597" s="60"/>
      <c r="AG597" s="60"/>
      <c r="AH597" s="60"/>
      <c r="AI597" s="60"/>
      <c r="AJ597" s="60"/>
      <c r="AK597" s="60"/>
      <c r="AL597" s="60"/>
      <c r="AM597" s="60"/>
      <c r="AN597" s="60"/>
      <c r="AO597" s="60"/>
      <c r="AP597" s="60"/>
      <c r="AQ597" s="60"/>
      <c r="AR597" s="60"/>
      <c r="AS597" s="60"/>
      <c r="AT597" s="60"/>
      <c r="AU597" s="60"/>
      <c r="AV597" s="60"/>
      <c r="AW597" s="60"/>
      <c r="AX597" s="60"/>
      <c r="AY597" s="60"/>
      <c r="AZ597" s="60"/>
    </row>
    <row r="598" ht="13.5" spans="1:52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  <c r="AC598" s="60"/>
      <c r="AD598" s="60"/>
      <c r="AE598" s="60"/>
      <c r="AF598" s="60"/>
      <c r="AG598" s="60"/>
      <c r="AH598" s="60"/>
      <c r="AI598" s="60"/>
      <c r="AJ598" s="60"/>
      <c r="AK598" s="60"/>
      <c r="AL598" s="60"/>
      <c r="AM598" s="60"/>
      <c r="AN598" s="60"/>
      <c r="AO598" s="60"/>
      <c r="AP598" s="60"/>
      <c r="AQ598" s="60"/>
      <c r="AR598" s="60"/>
      <c r="AS598" s="60"/>
      <c r="AT598" s="60"/>
      <c r="AU598" s="60"/>
      <c r="AV598" s="60"/>
      <c r="AW598" s="60"/>
      <c r="AX598" s="60"/>
      <c r="AY598" s="60"/>
      <c r="AZ598" s="60"/>
    </row>
    <row r="599" ht="13.5" spans="1:52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  <c r="AC599" s="60"/>
      <c r="AD599" s="60"/>
      <c r="AE599" s="60"/>
      <c r="AF599" s="60"/>
      <c r="AG599" s="60"/>
      <c r="AH599" s="60"/>
      <c r="AI599" s="60"/>
      <c r="AJ599" s="60"/>
      <c r="AK599" s="60"/>
      <c r="AL599" s="60"/>
      <c r="AM599" s="60"/>
      <c r="AN599" s="60"/>
      <c r="AO599" s="60"/>
      <c r="AP599" s="60"/>
      <c r="AQ599" s="60"/>
      <c r="AR599" s="60"/>
      <c r="AS599" s="60"/>
      <c r="AT599" s="60"/>
      <c r="AU599" s="60"/>
      <c r="AV599" s="60"/>
      <c r="AW599" s="60"/>
      <c r="AX599" s="60"/>
      <c r="AY599" s="60"/>
      <c r="AZ599" s="60"/>
    </row>
    <row r="600" ht="13.5" spans="1:52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0"/>
      <c r="AC600" s="60"/>
      <c r="AD600" s="60"/>
      <c r="AE600" s="60"/>
      <c r="AF600" s="60"/>
      <c r="AG600" s="60"/>
      <c r="AH600" s="60"/>
      <c r="AI600" s="60"/>
      <c r="AJ600" s="60"/>
      <c r="AK600" s="60"/>
      <c r="AL600" s="60"/>
      <c r="AM600" s="60"/>
      <c r="AN600" s="60"/>
      <c r="AO600" s="60"/>
      <c r="AP600" s="60"/>
      <c r="AQ600" s="60"/>
      <c r="AR600" s="60"/>
      <c r="AS600" s="60"/>
      <c r="AT600" s="60"/>
      <c r="AU600" s="60"/>
      <c r="AV600" s="60"/>
      <c r="AW600" s="60"/>
      <c r="AX600" s="60"/>
      <c r="AY600" s="60"/>
      <c r="AZ600" s="60"/>
    </row>
    <row r="601" ht="13.5" spans="1:52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0"/>
      <c r="AC601" s="60"/>
      <c r="AD601" s="60"/>
      <c r="AE601" s="60"/>
      <c r="AF601" s="60"/>
      <c r="AG601" s="60"/>
      <c r="AH601" s="60"/>
      <c r="AI601" s="60"/>
      <c r="AJ601" s="60"/>
      <c r="AK601" s="60"/>
      <c r="AL601" s="60"/>
      <c r="AM601" s="60"/>
      <c r="AN601" s="60"/>
      <c r="AO601" s="60"/>
      <c r="AP601" s="60"/>
      <c r="AQ601" s="60"/>
      <c r="AR601" s="60"/>
      <c r="AS601" s="60"/>
      <c r="AT601" s="60"/>
      <c r="AU601" s="60"/>
      <c r="AV601" s="60"/>
      <c r="AW601" s="60"/>
      <c r="AX601" s="60"/>
      <c r="AY601" s="60"/>
      <c r="AZ601" s="60"/>
    </row>
    <row r="602" ht="13.5" spans="1:52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0"/>
      <c r="AC602" s="60"/>
      <c r="AD602" s="60"/>
      <c r="AE602" s="60"/>
      <c r="AF602" s="60"/>
      <c r="AG602" s="60"/>
      <c r="AH602" s="60"/>
      <c r="AI602" s="60"/>
      <c r="AJ602" s="60"/>
      <c r="AK602" s="60"/>
      <c r="AL602" s="60"/>
      <c r="AM602" s="60"/>
      <c r="AN602" s="60"/>
      <c r="AO602" s="60"/>
      <c r="AP602" s="60"/>
      <c r="AQ602" s="60"/>
      <c r="AR602" s="60"/>
      <c r="AS602" s="60"/>
      <c r="AT602" s="60"/>
      <c r="AU602" s="60"/>
      <c r="AV602" s="60"/>
      <c r="AW602" s="60"/>
      <c r="AX602" s="60"/>
      <c r="AY602" s="60"/>
      <c r="AZ602" s="60"/>
    </row>
    <row r="603" ht="13.5" spans="1:52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0"/>
      <c r="AC603" s="60"/>
      <c r="AD603" s="60"/>
      <c r="AE603" s="60"/>
      <c r="AF603" s="60"/>
      <c r="AG603" s="60"/>
      <c r="AH603" s="60"/>
      <c r="AI603" s="60"/>
      <c r="AJ603" s="60"/>
      <c r="AK603" s="60"/>
      <c r="AL603" s="60"/>
      <c r="AM603" s="60"/>
      <c r="AN603" s="60"/>
      <c r="AO603" s="60"/>
      <c r="AP603" s="60"/>
      <c r="AQ603" s="60"/>
      <c r="AR603" s="60"/>
      <c r="AS603" s="60"/>
      <c r="AT603" s="60"/>
      <c r="AU603" s="60"/>
      <c r="AV603" s="60"/>
      <c r="AW603" s="60"/>
      <c r="AX603" s="60"/>
      <c r="AY603" s="60"/>
      <c r="AZ603" s="60"/>
    </row>
    <row r="604" ht="13.5" spans="1:52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0"/>
      <c r="AC604" s="60"/>
      <c r="AD604" s="60"/>
      <c r="AE604" s="60"/>
      <c r="AF604" s="60"/>
      <c r="AG604" s="60"/>
      <c r="AH604" s="60"/>
      <c r="AI604" s="60"/>
      <c r="AJ604" s="60"/>
      <c r="AK604" s="60"/>
      <c r="AL604" s="60"/>
      <c r="AM604" s="60"/>
      <c r="AN604" s="60"/>
      <c r="AO604" s="60"/>
      <c r="AP604" s="60"/>
      <c r="AQ604" s="60"/>
      <c r="AR604" s="60"/>
      <c r="AS604" s="60"/>
      <c r="AT604" s="60"/>
      <c r="AU604" s="60"/>
      <c r="AV604" s="60"/>
      <c r="AW604" s="60"/>
      <c r="AX604" s="60"/>
      <c r="AY604" s="60"/>
      <c r="AZ604" s="60"/>
    </row>
    <row r="605" ht="13.5" spans="1:52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0"/>
      <c r="AC605" s="60"/>
      <c r="AD605" s="60"/>
      <c r="AE605" s="60"/>
      <c r="AF605" s="60"/>
      <c r="AG605" s="60"/>
      <c r="AH605" s="60"/>
      <c r="AI605" s="60"/>
      <c r="AJ605" s="60"/>
      <c r="AK605" s="60"/>
      <c r="AL605" s="60"/>
      <c r="AM605" s="60"/>
      <c r="AN605" s="60"/>
      <c r="AO605" s="60"/>
      <c r="AP605" s="60"/>
      <c r="AQ605" s="60"/>
      <c r="AR605" s="60"/>
      <c r="AS605" s="60"/>
      <c r="AT605" s="60"/>
      <c r="AU605" s="60"/>
      <c r="AV605" s="60"/>
      <c r="AW605" s="60"/>
      <c r="AX605" s="60"/>
      <c r="AY605" s="60"/>
      <c r="AZ605" s="60"/>
    </row>
    <row r="606" ht="13.5" spans="1:52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0"/>
      <c r="AC606" s="60"/>
      <c r="AD606" s="60"/>
      <c r="AE606" s="60"/>
      <c r="AF606" s="60"/>
      <c r="AG606" s="60"/>
      <c r="AH606" s="60"/>
      <c r="AI606" s="60"/>
      <c r="AJ606" s="60"/>
      <c r="AK606" s="60"/>
      <c r="AL606" s="60"/>
      <c r="AM606" s="60"/>
      <c r="AN606" s="60"/>
      <c r="AO606" s="60"/>
      <c r="AP606" s="60"/>
      <c r="AQ606" s="60"/>
      <c r="AR606" s="60"/>
      <c r="AS606" s="60"/>
      <c r="AT606" s="60"/>
      <c r="AU606" s="60"/>
      <c r="AV606" s="60"/>
      <c r="AW606" s="60"/>
      <c r="AX606" s="60"/>
      <c r="AY606" s="60"/>
      <c r="AZ606" s="60"/>
    </row>
    <row r="607" ht="13.5" spans="1:52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0"/>
      <c r="AC607" s="60"/>
      <c r="AD607" s="60"/>
      <c r="AE607" s="60"/>
      <c r="AF607" s="60"/>
      <c r="AG607" s="60"/>
      <c r="AH607" s="60"/>
      <c r="AI607" s="60"/>
      <c r="AJ607" s="60"/>
      <c r="AK607" s="60"/>
      <c r="AL607" s="60"/>
      <c r="AM607" s="60"/>
      <c r="AN607" s="60"/>
      <c r="AO607" s="60"/>
      <c r="AP607" s="60"/>
      <c r="AQ607" s="60"/>
      <c r="AR607" s="60"/>
      <c r="AS607" s="60"/>
      <c r="AT607" s="60"/>
      <c r="AU607" s="60"/>
      <c r="AV607" s="60"/>
      <c r="AW607" s="60"/>
      <c r="AX607" s="60"/>
      <c r="AY607" s="60"/>
      <c r="AZ607" s="60"/>
    </row>
    <row r="608" ht="13.5" spans="1:52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0"/>
      <c r="AC608" s="60"/>
      <c r="AD608" s="60"/>
      <c r="AE608" s="60"/>
      <c r="AF608" s="60"/>
      <c r="AG608" s="60"/>
      <c r="AH608" s="60"/>
      <c r="AI608" s="60"/>
      <c r="AJ608" s="60"/>
      <c r="AK608" s="60"/>
      <c r="AL608" s="60"/>
      <c r="AM608" s="60"/>
      <c r="AN608" s="60"/>
      <c r="AO608" s="60"/>
      <c r="AP608" s="60"/>
      <c r="AQ608" s="60"/>
      <c r="AR608" s="60"/>
      <c r="AS608" s="60"/>
      <c r="AT608" s="60"/>
      <c r="AU608" s="60"/>
      <c r="AV608" s="60"/>
      <c r="AW608" s="60"/>
      <c r="AX608" s="60"/>
      <c r="AY608" s="60"/>
      <c r="AZ608" s="60"/>
    </row>
    <row r="609" ht="13.5" spans="1:52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0"/>
      <c r="AC609" s="60"/>
      <c r="AD609" s="60"/>
      <c r="AE609" s="60"/>
      <c r="AF609" s="60"/>
      <c r="AG609" s="60"/>
      <c r="AH609" s="60"/>
      <c r="AI609" s="60"/>
      <c r="AJ609" s="60"/>
      <c r="AK609" s="60"/>
      <c r="AL609" s="60"/>
      <c r="AM609" s="60"/>
      <c r="AN609" s="60"/>
      <c r="AO609" s="60"/>
      <c r="AP609" s="60"/>
      <c r="AQ609" s="60"/>
      <c r="AR609" s="60"/>
      <c r="AS609" s="60"/>
      <c r="AT609" s="60"/>
      <c r="AU609" s="60"/>
      <c r="AV609" s="60"/>
      <c r="AW609" s="60"/>
      <c r="AX609" s="60"/>
      <c r="AY609" s="60"/>
      <c r="AZ609" s="60"/>
    </row>
    <row r="610" ht="13.5" spans="1:52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0"/>
      <c r="AC610" s="60"/>
      <c r="AD610" s="60"/>
      <c r="AE610" s="60"/>
      <c r="AF610" s="60"/>
      <c r="AG610" s="60"/>
      <c r="AH610" s="60"/>
      <c r="AI610" s="60"/>
      <c r="AJ610" s="60"/>
      <c r="AK610" s="60"/>
      <c r="AL610" s="60"/>
      <c r="AM610" s="60"/>
      <c r="AN610" s="60"/>
      <c r="AO610" s="60"/>
      <c r="AP610" s="60"/>
      <c r="AQ610" s="60"/>
      <c r="AR610" s="60"/>
      <c r="AS610" s="60"/>
      <c r="AT610" s="60"/>
      <c r="AU610" s="60"/>
      <c r="AV610" s="60"/>
      <c r="AW610" s="60"/>
      <c r="AX610" s="60"/>
      <c r="AY610" s="60"/>
      <c r="AZ610" s="60"/>
    </row>
    <row r="611" ht="13.5" spans="1:52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0"/>
      <c r="AC611" s="60"/>
      <c r="AD611" s="60"/>
      <c r="AE611" s="60"/>
      <c r="AF611" s="60"/>
      <c r="AG611" s="60"/>
      <c r="AH611" s="60"/>
      <c r="AI611" s="60"/>
      <c r="AJ611" s="60"/>
      <c r="AK611" s="60"/>
      <c r="AL611" s="60"/>
      <c r="AM611" s="60"/>
      <c r="AN611" s="60"/>
      <c r="AO611" s="60"/>
      <c r="AP611" s="60"/>
      <c r="AQ611" s="60"/>
      <c r="AR611" s="60"/>
      <c r="AS611" s="60"/>
      <c r="AT611" s="60"/>
      <c r="AU611" s="60"/>
      <c r="AV611" s="60"/>
      <c r="AW611" s="60"/>
      <c r="AX611" s="60"/>
      <c r="AY611" s="60"/>
      <c r="AZ611" s="60"/>
    </row>
    <row r="612" ht="13.5" spans="1:52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  <c r="AB612" s="60"/>
      <c r="AC612" s="60"/>
      <c r="AD612" s="60"/>
      <c r="AE612" s="60"/>
      <c r="AF612" s="60"/>
      <c r="AG612" s="60"/>
      <c r="AH612" s="60"/>
      <c r="AI612" s="60"/>
      <c r="AJ612" s="60"/>
      <c r="AK612" s="60"/>
      <c r="AL612" s="60"/>
      <c r="AM612" s="60"/>
      <c r="AN612" s="60"/>
      <c r="AO612" s="60"/>
      <c r="AP612" s="60"/>
      <c r="AQ612" s="60"/>
      <c r="AR612" s="60"/>
      <c r="AS612" s="60"/>
      <c r="AT612" s="60"/>
      <c r="AU612" s="60"/>
      <c r="AV612" s="60"/>
      <c r="AW612" s="60"/>
      <c r="AX612" s="60"/>
      <c r="AY612" s="60"/>
      <c r="AZ612" s="60"/>
    </row>
    <row r="613" ht="13.5" spans="1:52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  <c r="AB613" s="60"/>
      <c r="AC613" s="60"/>
      <c r="AD613" s="60"/>
      <c r="AE613" s="60"/>
      <c r="AF613" s="60"/>
      <c r="AG613" s="60"/>
      <c r="AH613" s="60"/>
      <c r="AI613" s="60"/>
      <c r="AJ613" s="60"/>
      <c r="AK613" s="60"/>
      <c r="AL613" s="60"/>
      <c r="AM613" s="60"/>
      <c r="AN613" s="60"/>
      <c r="AO613" s="60"/>
      <c r="AP613" s="60"/>
      <c r="AQ613" s="60"/>
      <c r="AR613" s="60"/>
      <c r="AS613" s="60"/>
      <c r="AT613" s="60"/>
      <c r="AU613" s="60"/>
      <c r="AV613" s="60"/>
      <c r="AW613" s="60"/>
      <c r="AX613" s="60"/>
      <c r="AY613" s="60"/>
      <c r="AZ613" s="60"/>
    </row>
    <row r="614" ht="13.5" spans="1:52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  <c r="AB614" s="60"/>
      <c r="AC614" s="60"/>
      <c r="AD614" s="60"/>
      <c r="AE614" s="60"/>
      <c r="AF614" s="60"/>
      <c r="AG614" s="60"/>
      <c r="AH614" s="60"/>
      <c r="AI614" s="60"/>
      <c r="AJ614" s="60"/>
      <c r="AK614" s="60"/>
      <c r="AL614" s="60"/>
      <c r="AM614" s="60"/>
      <c r="AN614" s="60"/>
      <c r="AO614" s="60"/>
      <c r="AP614" s="60"/>
      <c r="AQ614" s="60"/>
      <c r="AR614" s="60"/>
      <c r="AS614" s="60"/>
      <c r="AT614" s="60"/>
      <c r="AU614" s="60"/>
      <c r="AV614" s="60"/>
      <c r="AW614" s="60"/>
      <c r="AX614" s="60"/>
      <c r="AY614" s="60"/>
      <c r="AZ614" s="60"/>
    </row>
    <row r="615" ht="13.5" spans="1:52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60"/>
      <c r="AC615" s="60"/>
      <c r="AD615" s="60"/>
      <c r="AE615" s="60"/>
      <c r="AF615" s="60"/>
      <c r="AG615" s="60"/>
      <c r="AH615" s="60"/>
      <c r="AI615" s="60"/>
      <c r="AJ615" s="60"/>
      <c r="AK615" s="60"/>
      <c r="AL615" s="60"/>
      <c r="AM615" s="60"/>
      <c r="AN615" s="60"/>
      <c r="AO615" s="60"/>
      <c r="AP615" s="60"/>
      <c r="AQ615" s="60"/>
      <c r="AR615" s="60"/>
      <c r="AS615" s="60"/>
      <c r="AT615" s="60"/>
      <c r="AU615" s="60"/>
      <c r="AV615" s="60"/>
      <c r="AW615" s="60"/>
      <c r="AX615" s="60"/>
      <c r="AY615" s="60"/>
      <c r="AZ615" s="60"/>
    </row>
    <row r="616" ht="13.5" spans="1:52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0"/>
      <c r="AC616" s="60"/>
      <c r="AD616" s="60"/>
      <c r="AE616" s="60"/>
      <c r="AF616" s="60"/>
      <c r="AG616" s="60"/>
      <c r="AH616" s="60"/>
      <c r="AI616" s="60"/>
      <c r="AJ616" s="60"/>
      <c r="AK616" s="60"/>
      <c r="AL616" s="60"/>
      <c r="AM616" s="60"/>
      <c r="AN616" s="60"/>
      <c r="AO616" s="60"/>
      <c r="AP616" s="60"/>
      <c r="AQ616" s="60"/>
      <c r="AR616" s="60"/>
      <c r="AS616" s="60"/>
      <c r="AT616" s="60"/>
      <c r="AU616" s="60"/>
      <c r="AV616" s="60"/>
      <c r="AW616" s="60"/>
      <c r="AX616" s="60"/>
      <c r="AY616" s="60"/>
      <c r="AZ616" s="60"/>
    </row>
    <row r="617" ht="13.5" spans="1:52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  <c r="AB617" s="60"/>
      <c r="AC617" s="60"/>
      <c r="AD617" s="60"/>
      <c r="AE617" s="60"/>
      <c r="AF617" s="60"/>
      <c r="AG617" s="60"/>
      <c r="AH617" s="60"/>
      <c r="AI617" s="60"/>
      <c r="AJ617" s="60"/>
      <c r="AK617" s="60"/>
      <c r="AL617" s="60"/>
      <c r="AM617" s="60"/>
      <c r="AN617" s="60"/>
      <c r="AO617" s="60"/>
      <c r="AP617" s="60"/>
      <c r="AQ617" s="60"/>
      <c r="AR617" s="60"/>
      <c r="AS617" s="60"/>
      <c r="AT617" s="60"/>
      <c r="AU617" s="60"/>
      <c r="AV617" s="60"/>
      <c r="AW617" s="60"/>
      <c r="AX617" s="60"/>
      <c r="AY617" s="60"/>
      <c r="AZ617" s="60"/>
    </row>
    <row r="618" ht="13.5" spans="1:52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  <c r="AB618" s="60"/>
      <c r="AC618" s="60"/>
      <c r="AD618" s="60"/>
      <c r="AE618" s="60"/>
      <c r="AF618" s="60"/>
      <c r="AG618" s="60"/>
      <c r="AH618" s="60"/>
      <c r="AI618" s="60"/>
      <c r="AJ618" s="60"/>
      <c r="AK618" s="60"/>
      <c r="AL618" s="60"/>
      <c r="AM618" s="60"/>
      <c r="AN618" s="60"/>
      <c r="AO618" s="60"/>
      <c r="AP618" s="60"/>
      <c r="AQ618" s="60"/>
      <c r="AR618" s="60"/>
      <c r="AS618" s="60"/>
      <c r="AT618" s="60"/>
      <c r="AU618" s="60"/>
      <c r="AV618" s="60"/>
      <c r="AW618" s="60"/>
      <c r="AX618" s="60"/>
      <c r="AY618" s="60"/>
      <c r="AZ618" s="60"/>
    </row>
    <row r="619" ht="13.5" spans="1:52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0"/>
      <c r="AC619" s="60"/>
      <c r="AD619" s="60"/>
      <c r="AE619" s="60"/>
      <c r="AF619" s="60"/>
      <c r="AG619" s="60"/>
      <c r="AH619" s="60"/>
      <c r="AI619" s="60"/>
      <c r="AJ619" s="60"/>
      <c r="AK619" s="60"/>
      <c r="AL619" s="60"/>
      <c r="AM619" s="60"/>
      <c r="AN619" s="60"/>
      <c r="AO619" s="60"/>
      <c r="AP619" s="60"/>
      <c r="AQ619" s="60"/>
      <c r="AR619" s="60"/>
      <c r="AS619" s="60"/>
      <c r="AT619" s="60"/>
      <c r="AU619" s="60"/>
      <c r="AV619" s="60"/>
      <c r="AW619" s="60"/>
      <c r="AX619" s="60"/>
      <c r="AY619" s="60"/>
      <c r="AZ619" s="60"/>
    </row>
    <row r="620" ht="13.5" spans="1:52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  <c r="AB620" s="60"/>
      <c r="AC620" s="60"/>
      <c r="AD620" s="60"/>
      <c r="AE620" s="60"/>
      <c r="AF620" s="60"/>
      <c r="AG620" s="60"/>
      <c r="AH620" s="60"/>
      <c r="AI620" s="60"/>
      <c r="AJ620" s="60"/>
      <c r="AK620" s="60"/>
      <c r="AL620" s="60"/>
      <c r="AM620" s="60"/>
      <c r="AN620" s="60"/>
      <c r="AO620" s="60"/>
      <c r="AP620" s="60"/>
      <c r="AQ620" s="60"/>
      <c r="AR620" s="60"/>
      <c r="AS620" s="60"/>
      <c r="AT620" s="60"/>
      <c r="AU620" s="60"/>
      <c r="AV620" s="60"/>
      <c r="AW620" s="60"/>
      <c r="AX620" s="60"/>
      <c r="AY620" s="60"/>
      <c r="AZ620" s="60"/>
    </row>
    <row r="621" ht="13.5" spans="1:52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0"/>
      <c r="AC621" s="60"/>
      <c r="AD621" s="60"/>
      <c r="AE621" s="60"/>
      <c r="AF621" s="60"/>
      <c r="AG621" s="60"/>
      <c r="AH621" s="60"/>
      <c r="AI621" s="60"/>
      <c r="AJ621" s="60"/>
      <c r="AK621" s="60"/>
      <c r="AL621" s="60"/>
      <c r="AM621" s="60"/>
      <c r="AN621" s="60"/>
      <c r="AO621" s="60"/>
      <c r="AP621" s="60"/>
      <c r="AQ621" s="60"/>
      <c r="AR621" s="60"/>
      <c r="AS621" s="60"/>
      <c r="AT621" s="60"/>
      <c r="AU621" s="60"/>
      <c r="AV621" s="60"/>
      <c r="AW621" s="60"/>
      <c r="AX621" s="60"/>
      <c r="AY621" s="60"/>
      <c r="AZ621" s="60"/>
    </row>
    <row r="622" ht="13.5" spans="1:52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  <c r="AB622" s="60"/>
      <c r="AC622" s="60"/>
      <c r="AD622" s="60"/>
      <c r="AE622" s="60"/>
      <c r="AF622" s="60"/>
      <c r="AG622" s="60"/>
      <c r="AH622" s="60"/>
      <c r="AI622" s="60"/>
      <c r="AJ622" s="60"/>
      <c r="AK622" s="60"/>
      <c r="AL622" s="60"/>
      <c r="AM622" s="60"/>
      <c r="AN622" s="60"/>
      <c r="AO622" s="60"/>
      <c r="AP622" s="60"/>
      <c r="AQ622" s="60"/>
      <c r="AR622" s="60"/>
      <c r="AS622" s="60"/>
      <c r="AT622" s="60"/>
      <c r="AU622" s="60"/>
      <c r="AV622" s="60"/>
      <c r="AW622" s="60"/>
      <c r="AX622" s="60"/>
      <c r="AY622" s="60"/>
      <c r="AZ622" s="60"/>
    </row>
    <row r="623" ht="13.5" spans="1:52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  <c r="AJ623" s="60"/>
      <c r="AK623" s="60"/>
      <c r="AL623" s="60"/>
      <c r="AM623" s="60"/>
      <c r="AN623" s="60"/>
      <c r="AO623" s="60"/>
      <c r="AP623" s="60"/>
      <c r="AQ623" s="60"/>
      <c r="AR623" s="60"/>
      <c r="AS623" s="60"/>
      <c r="AT623" s="60"/>
      <c r="AU623" s="60"/>
      <c r="AV623" s="60"/>
      <c r="AW623" s="60"/>
      <c r="AX623" s="60"/>
      <c r="AY623" s="60"/>
      <c r="AZ623" s="60"/>
    </row>
    <row r="624" ht="13.5" spans="1:52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  <c r="AB624" s="60"/>
      <c r="AC624" s="60"/>
      <c r="AD624" s="60"/>
      <c r="AE624" s="60"/>
      <c r="AF624" s="60"/>
      <c r="AG624" s="60"/>
      <c r="AH624" s="60"/>
      <c r="AI624" s="60"/>
      <c r="AJ624" s="60"/>
      <c r="AK624" s="60"/>
      <c r="AL624" s="60"/>
      <c r="AM624" s="60"/>
      <c r="AN624" s="60"/>
      <c r="AO624" s="60"/>
      <c r="AP624" s="60"/>
      <c r="AQ624" s="60"/>
      <c r="AR624" s="60"/>
      <c r="AS624" s="60"/>
      <c r="AT624" s="60"/>
      <c r="AU624" s="60"/>
      <c r="AV624" s="60"/>
      <c r="AW624" s="60"/>
      <c r="AX624" s="60"/>
      <c r="AY624" s="60"/>
      <c r="AZ624" s="60"/>
    </row>
    <row r="625" ht="13.5" spans="1:52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  <c r="AB625" s="60"/>
      <c r="AC625" s="60"/>
      <c r="AD625" s="60"/>
      <c r="AE625" s="60"/>
      <c r="AF625" s="60"/>
      <c r="AG625" s="60"/>
      <c r="AH625" s="60"/>
      <c r="AI625" s="60"/>
      <c r="AJ625" s="60"/>
      <c r="AK625" s="60"/>
      <c r="AL625" s="60"/>
      <c r="AM625" s="60"/>
      <c r="AN625" s="60"/>
      <c r="AO625" s="60"/>
      <c r="AP625" s="60"/>
      <c r="AQ625" s="60"/>
      <c r="AR625" s="60"/>
      <c r="AS625" s="60"/>
      <c r="AT625" s="60"/>
      <c r="AU625" s="60"/>
      <c r="AV625" s="60"/>
      <c r="AW625" s="60"/>
      <c r="AX625" s="60"/>
      <c r="AY625" s="60"/>
      <c r="AZ625" s="60"/>
    </row>
    <row r="626" ht="13.5" spans="1:52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  <c r="AB626" s="60"/>
      <c r="AC626" s="60"/>
      <c r="AD626" s="60"/>
      <c r="AE626" s="60"/>
      <c r="AF626" s="60"/>
      <c r="AG626" s="60"/>
      <c r="AH626" s="60"/>
      <c r="AI626" s="60"/>
      <c r="AJ626" s="60"/>
      <c r="AK626" s="60"/>
      <c r="AL626" s="60"/>
      <c r="AM626" s="60"/>
      <c r="AN626" s="60"/>
      <c r="AO626" s="60"/>
      <c r="AP626" s="60"/>
      <c r="AQ626" s="60"/>
      <c r="AR626" s="60"/>
      <c r="AS626" s="60"/>
      <c r="AT626" s="60"/>
      <c r="AU626" s="60"/>
      <c r="AV626" s="60"/>
      <c r="AW626" s="60"/>
      <c r="AX626" s="60"/>
      <c r="AY626" s="60"/>
      <c r="AZ626" s="60"/>
    </row>
    <row r="627" ht="13.5" spans="1:52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0"/>
      <c r="AC627" s="60"/>
      <c r="AD627" s="60"/>
      <c r="AE627" s="60"/>
      <c r="AF627" s="60"/>
      <c r="AG627" s="60"/>
      <c r="AH627" s="60"/>
      <c r="AI627" s="60"/>
      <c r="AJ627" s="60"/>
      <c r="AK627" s="60"/>
      <c r="AL627" s="60"/>
      <c r="AM627" s="60"/>
      <c r="AN627" s="60"/>
      <c r="AO627" s="60"/>
      <c r="AP627" s="60"/>
      <c r="AQ627" s="60"/>
      <c r="AR627" s="60"/>
      <c r="AS627" s="60"/>
      <c r="AT627" s="60"/>
      <c r="AU627" s="60"/>
      <c r="AV627" s="60"/>
      <c r="AW627" s="60"/>
      <c r="AX627" s="60"/>
      <c r="AY627" s="60"/>
      <c r="AZ627" s="60"/>
    </row>
    <row r="628" ht="13.5" spans="1:52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  <c r="AB628" s="60"/>
      <c r="AC628" s="60"/>
      <c r="AD628" s="60"/>
      <c r="AE628" s="60"/>
      <c r="AF628" s="60"/>
      <c r="AG628" s="60"/>
      <c r="AH628" s="60"/>
      <c r="AI628" s="60"/>
      <c r="AJ628" s="60"/>
      <c r="AK628" s="60"/>
      <c r="AL628" s="60"/>
      <c r="AM628" s="60"/>
      <c r="AN628" s="60"/>
      <c r="AO628" s="60"/>
      <c r="AP628" s="60"/>
      <c r="AQ628" s="60"/>
      <c r="AR628" s="60"/>
      <c r="AS628" s="60"/>
      <c r="AT628" s="60"/>
      <c r="AU628" s="60"/>
      <c r="AV628" s="60"/>
      <c r="AW628" s="60"/>
      <c r="AX628" s="60"/>
      <c r="AY628" s="60"/>
      <c r="AZ628" s="60"/>
    </row>
    <row r="629" ht="13.5" spans="1:52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  <c r="AB629" s="60"/>
      <c r="AC629" s="60"/>
      <c r="AD629" s="60"/>
      <c r="AE629" s="60"/>
      <c r="AF629" s="60"/>
      <c r="AG629" s="60"/>
      <c r="AH629" s="60"/>
      <c r="AI629" s="60"/>
      <c r="AJ629" s="60"/>
      <c r="AK629" s="60"/>
      <c r="AL629" s="60"/>
      <c r="AM629" s="60"/>
      <c r="AN629" s="60"/>
      <c r="AO629" s="60"/>
      <c r="AP629" s="60"/>
      <c r="AQ629" s="60"/>
      <c r="AR629" s="60"/>
      <c r="AS629" s="60"/>
      <c r="AT629" s="60"/>
      <c r="AU629" s="60"/>
      <c r="AV629" s="60"/>
      <c r="AW629" s="60"/>
      <c r="AX629" s="60"/>
      <c r="AY629" s="60"/>
      <c r="AZ629" s="60"/>
    </row>
    <row r="630" ht="13.5" spans="1:52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  <c r="AB630" s="60"/>
      <c r="AC630" s="60"/>
      <c r="AD630" s="60"/>
      <c r="AE630" s="60"/>
      <c r="AF630" s="60"/>
      <c r="AG630" s="60"/>
      <c r="AH630" s="60"/>
      <c r="AI630" s="60"/>
      <c r="AJ630" s="60"/>
      <c r="AK630" s="60"/>
      <c r="AL630" s="60"/>
      <c r="AM630" s="60"/>
      <c r="AN630" s="60"/>
      <c r="AO630" s="60"/>
      <c r="AP630" s="60"/>
      <c r="AQ630" s="60"/>
      <c r="AR630" s="60"/>
      <c r="AS630" s="60"/>
      <c r="AT630" s="60"/>
      <c r="AU630" s="60"/>
      <c r="AV630" s="60"/>
      <c r="AW630" s="60"/>
      <c r="AX630" s="60"/>
      <c r="AY630" s="60"/>
      <c r="AZ630" s="60"/>
    </row>
    <row r="631" ht="13.5" spans="1:52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  <c r="AJ631" s="60"/>
      <c r="AK631" s="60"/>
      <c r="AL631" s="60"/>
      <c r="AM631" s="60"/>
      <c r="AN631" s="60"/>
      <c r="AO631" s="60"/>
      <c r="AP631" s="60"/>
      <c r="AQ631" s="60"/>
      <c r="AR631" s="60"/>
      <c r="AS631" s="60"/>
      <c r="AT631" s="60"/>
      <c r="AU631" s="60"/>
      <c r="AV631" s="60"/>
      <c r="AW631" s="60"/>
      <c r="AX631" s="60"/>
      <c r="AY631" s="60"/>
      <c r="AZ631" s="60"/>
    </row>
    <row r="632" ht="13.5" spans="1:52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  <c r="AB632" s="60"/>
      <c r="AC632" s="60"/>
      <c r="AD632" s="60"/>
      <c r="AE632" s="60"/>
      <c r="AF632" s="60"/>
      <c r="AG632" s="60"/>
      <c r="AH632" s="60"/>
      <c r="AI632" s="60"/>
      <c r="AJ632" s="60"/>
      <c r="AK632" s="60"/>
      <c r="AL632" s="60"/>
      <c r="AM632" s="60"/>
      <c r="AN632" s="60"/>
      <c r="AO632" s="60"/>
      <c r="AP632" s="60"/>
      <c r="AQ632" s="60"/>
      <c r="AR632" s="60"/>
      <c r="AS632" s="60"/>
      <c r="AT632" s="60"/>
      <c r="AU632" s="60"/>
      <c r="AV632" s="60"/>
      <c r="AW632" s="60"/>
      <c r="AX632" s="60"/>
      <c r="AY632" s="60"/>
      <c r="AZ632" s="60"/>
    </row>
    <row r="633" ht="13.5" spans="1:52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  <c r="AB633" s="60"/>
      <c r="AC633" s="60"/>
      <c r="AD633" s="60"/>
      <c r="AE633" s="60"/>
      <c r="AF633" s="60"/>
      <c r="AG633" s="60"/>
      <c r="AH633" s="60"/>
      <c r="AI633" s="60"/>
      <c r="AJ633" s="60"/>
      <c r="AK633" s="60"/>
      <c r="AL633" s="60"/>
      <c r="AM633" s="60"/>
      <c r="AN633" s="60"/>
      <c r="AO633" s="60"/>
      <c r="AP633" s="60"/>
      <c r="AQ633" s="60"/>
      <c r="AR633" s="60"/>
      <c r="AS633" s="60"/>
      <c r="AT633" s="60"/>
      <c r="AU633" s="60"/>
      <c r="AV633" s="60"/>
      <c r="AW633" s="60"/>
      <c r="AX633" s="60"/>
      <c r="AY633" s="60"/>
      <c r="AZ633" s="60"/>
    </row>
    <row r="634" ht="13.5" spans="1:52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/>
      <c r="AL634" s="60"/>
      <c r="AM634" s="60"/>
      <c r="AN634" s="60"/>
      <c r="AO634" s="60"/>
      <c r="AP634" s="60"/>
      <c r="AQ634" s="60"/>
      <c r="AR634" s="60"/>
      <c r="AS634" s="60"/>
      <c r="AT634" s="60"/>
      <c r="AU634" s="60"/>
      <c r="AV634" s="60"/>
      <c r="AW634" s="60"/>
      <c r="AX634" s="60"/>
      <c r="AY634" s="60"/>
      <c r="AZ634" s="60"/>
    </row>
    <row r="635" ht="13.5" spans="1:52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  <c r="AB635" s="60"/>
      <c r="AC635" s="60"/>
      <c r="AD635" s="60"/>
      <c r="AE635" s="60"/>
      <c r="AF635" s="60"/>
      <c r="AG635" s="60"/>
      <c r="AH635" s="60"/>
      <c r="AI635" s="60"/>
      <c r="AJ635" s="60"/>
      <c r="AK635" s="60"/>
      <c r="AL635" s="60"/>
      <c r="AM635" s="60"/>
      <c r="AN635" s="60"/>
      <c r="AO635" s="60"/>
      <c r="AP635" s="60"/>
      <c r="AQ635" s="60"/>
      <c r="AR635" s="60"/>
      <c r="AS635" s="60"/>
      <c r="AT635" s="60"/>
      <c r="AU635" s="60"/>
      <c r="AV635" s="60"/>
      <c r="AW635" s="60"/>
      <c r="AX635" s="60"/>
      <c r="AY635" s="60"/>
      <c r="AZ635" s="60"/>
    </row>
    <row r="636" ht="13.5" spans="1:52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  <c r="AB636" s="60"/>
      <c r="AC636" s="60"/>
      <c r="AD636" s="60"/>
      <c r="AE636" s="60"/>
      <c r="AF636" s="60"/>
      <c r="AG636" s="60"/>
      <c r="AH636" s="60"/>
      <c r="AI636" s="60"/>
      <c r="AJ636" s="60"/>
      <c r="AK636" s="60"/>
      <c r="AL636" s="60"/>
      <c r="AM636" s="60"/>
      <c r="AN636" s="60"/>
      <c r="AO636" s="60"/>
      <c r="AP636" s="60"/>
      <c r="AQ636" s="60"/>
      <c r="AR636" s="60"/>
      <c r="AS636" s="60"/>
      <c r="AT636" s="60"/>
      <c r="AU636" s="60"/>
      <c r="AV636" s="60"/>
      <c r="AW636" s="60"/>
      <c r="AX636" s="60"/>
      <c r="AY636" s="60"/>
      <c r="AZ636" s="60"/>
    </row>
    <row r="637" ht="13.5" spans="1:52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  <c r="AB637" s="60"/>
      <c r="AC637" s="60"/>
      <c r="AD637" s="60"/>
      <c r="AE637" s="60"/>
      <c r="AF637" s="60"/>
      <c r="AG637" s="60"/>
      <c r="AH637" s="60"/>
      <c r="AI637" s="60"/>
      <c r="AJ637" s="60"/>
      <c r="AK637" s="60"/>
      <c r="AL637" s="60"/>
      <c r="AM637" s="60"/>
      <c r="AN637" s="60"/>
      <c r="AO637" s="60"/>
      <c r="AP637" s="60"/>
      <c r="AQ637" s="60"/>
      <c r="AR637" s="60"/>
      <c r="AS637" s="60"/>
      <c r="AT637" s="60"/>
      <c r="AU637" s="60"/>
      <c r="AV637" s="60"/>
      <c r="AW637" s="60"/>
      <c r="AX637" s="60"/>
      <c r="AY637" s="60"/>
      <c r="AZ637" s="60"/>
    </row>
    <row r="638" ht="13.5" spans="1:52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  <c r="AB638" s="60"/>
      <c r="AC638" s="60"/>
      <c r="AD638" s="60"/>
      <c r="AE638" s="60"/>
      <c r="AF638" s="60"/>
      <c r="AG638" s="60"/>
      <c r="AH638" s="60"/>
      <c r="AI638" s="60"/>
      <c r="AJ638" s="60"/>
      <c r="AK638" s="60"/>
      <c r="AL638" s="60"/>
      <c r="AM638" s="60"/>
      <c r="AN638" s="60"/>
      <c r="AO638" s="60"/>
      <c r="AP638" s="60"/>
      <c r="AQ638" s="60"/>
      <c r="AR638" s="60"/>
      <c r="AS638" s="60"/>
      <c r="AT638" s="60"/>
      <c r="AU638" s="60"/>
      <c r="AV638" s="60"/>
      <c r="AW638" s="60"/>
      <c r="AX638" s="60"/>
      <c r="AY638" s="60"/>
      <c r="AZ638" s="60"/>
    </row>
    <row r="639" ht="13.5" spans="1:52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  <c r="AB639" s="60"/>
      <c r="AC639" s="60"/>
      <c r="AD639" s="60"/>
      <c r="AE639" s="60"/>
      <c r="AF639" s="60"/>
      <c r="AG639" s="60"/>
      <c r="AH639" s="60"/>
      <c r="AI639" s="60"/>
      <c r="AJ639" s="60"/>
      <c r="AK639" s="60"/>
      <c r="AL639" s="60"/>
      <c r="AM639" s="60"/>
      <c r="AN639" s="60"/>
      <c r="AO639" s="60"/>
      <c r="AP639" s="60"/>
      <c r="AQ639" s="60"/>
      <c r="AR639" s="60"/>
      <c r="AS639" s="60"/>
      <c r="AT639" s="60"/>
      <c r="AU639" s="60"/>
      <c r="AV639" s="60"/>
      <c r="AW639" s="60"/>
      <c r="AX639" s="60"/>
      <c r="AY639" s="60"/>
      <c r="AZ639" s="60"/>
    </row>
    <row r="640" ht="13.5" spans="1:52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  <c r="AB640" s="60"/>
      <c r="AC640" s="60"/>
      <c r="AD640" s="60"/>
      <c r="AE640" s="60"/>
      <c r="AF640" s="60"/>
      <c r="AG640" s="60"/>
      <c r="AH640" s="60"/>
      <c r="AI640" s="60"/>
      <c r="AJ640" s="60"/>
      <c r="AK640" s="60"/>
      <c r="AL640" s="60"/>
      <c r="AM640" s="60"/>
      <c r="AN640" s="60"/>
      <c r="AO640" s="60"/>
      <c r="AP640" s="60"/>
      <c r="AQ640" s="60"/>
      <c r="AR640" s="60"/>
      <c r="AS640" s="60"/>
      <c r="AT640" s="60"/>
      <c r="AU640" s="60"/>
      <c r="AV640" s="60"/>
      <c r="AW640" s="60"/>
      <c r="AX640" s="60"/>
      <c r="AY640" s="60"/>
      <c r="AZ640" s="60"/>
    </row>
    <row r="641" ht="13.5" spans="1:52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  <c r="AB641" s="60"/>
      <c r="AC641" s="60"/>
      <c r="AD641" s="60"/>
      <c r="AE641" s="60"/>
      <c r="AF641" s="60"/>
      <c r="AG641" s="60"/>
      <c r="AH641" s="60"/>
      <c r="AI641" s="60"/>
      <c r="AJ641" s="60"/>
      <c r="AK641" s="60"/>
      <c r="AL641" s="60"/>
      <c r="AM641" s="60"/>
      <c r="AN641" s="60"/>
      <c r="AO641" s="60"/>
      <c r="AP641" s="60"/>
      <c r="AQ641" s="60"/>
      <c r="AR641" s="60"/>
      <c r="AS641" s="60"/>
      <c r="AT641" s="60"/>
      <c r="AU641" s="60"/>
      <c r="AV641" s="60"/>
      <c r="AW641" s="60"/>
      <c r="AX641" s="60"/>
      <c r="AY641" s="60"/>
      <c r="AZ641" s="60"/>
    </row>
    <row r="642" ht="13.5" spans="1:52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  <c r="AB642" s="60"/>
      <c r="AC642" s="60"/>
      <c r="AD642" s="60"/>
      <c r="AE642" s="60"/>
      <c r="AF642" s="60"/>
      <c r="AG642" s="60"/>
      <c r="AH642" s="60"/>
      <c r="AI642" s="60"/>
      <c r="AJ642" s="60"/>
      <c r="AK642" s="60"/>
      <c r="AL642" s="60"/>
      <c r="AM642" s="60"/>
      <c r="AN642" s="60"/>
      <c r="AO642" s="60"/>
      <c r="AP642" s="60"/>
      <c r="AQ642" s="60"/>
      <c r="AR642" s="60"/>
      <c r="AS642" s="60"/>
      <c r="AT642" s="60"/>
      <c r="AU642" s="60"/>
      <c r="AV642" s="60"/>
      <c r="AW642" s="60"/>
      <c r="AX642" s="60"/>
      <c r="AY642" s="60"/>
      <c r="AZ642" s="60"/>
    </row>
    <row r="643" ht="13.5" spans="1:52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  <c r="AB643" s="60"/>
      <c r="AC643" s="60"/>
      <c r="AD643" s="60"/>
      <c r="AE643" s="60"/>
      <c r="AF643" s="60"/>
      <c r="AG643" s="60"/>
      <c r="AH643" s="60"/>
      <c r="AI643" s="60"/>
      <c r="AJ643" s="60"/>
      <c r="AK643" s="60"/>
      <c r="AL643" s="60"/>
      <c r="AM643" s="60"/>
      <c r="AN643" s="60"/>
      <c r="AO643" s="60"/>
      <c r="AP643" s="60"/>
      <c r="AQ643" s="60"/>
      <c r="AR643" s="60"/>
      <c r="AS643" s="60"/>
      <c r="AT643" s="60"/>
      <c r="AU643" s="60"/>
      <c r="AV643" s="60"/>
      <c r="AW643" s="60"/>
      <c r="AX643" s="60"/>
      <c r="AY643" s="60"/>
      <c r="AZ643" s="60"/>
    </row>
    <row r="644" ht="13.5" spans="1:52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  <c r="AB644" s="60"/>
      <c r="AC644" s="60"/>
      <c r="AD644" s="60"/>
      <c r="AE644" s="60"/>
      <c r="AF644" s="60"/>
      <c r="AG644" s="60"/>
      <c r="AH644" s="60"/>
      <c r="AI644" s="60"/>
      <c r="AJ644" s="60"/>
      <c r="AK644" s="60"/>
      <c r="AL644" s="60"/>
      <c r="AM644" s="60"/>
      <c r="AN644" s="60"/>
      <c r="AO644" s="60"/>
      <c r="AP644" s="60"/>
      <c r="AQ644" s="60"/>
      <c r="AR644" s="60"/>
      <c r="AS644" s="60"/>
      <c r="AT644" s="60"/>
      <c r="AU644" s="60"/>
      <c r="AV644" s="60"/>
      <c r="AW644" s="60"/>
      <c r="AX644" s="60"/>
      <c r="AY644" s="60"/>
      <c r="AZ644" s="60"/>
    </row>
    <row r="645" ht="13.5" spans="1:52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  <c r="AB645" s="60"/>
      <c r="AC645" s="60"/>
      <c r="AD645" s="60"/>
      <c r="AE645" s="60"/>
      <c r="AF645" s="60"/>
      <c r="AG645" s="60"/>
      <c r="AH645" s="60"/>
      <c r="AI645" s="60"/>
      <c r="AJ645" s="60"/>
      <c r="AK645" s="60"/>
      <c r="AL645" s="60"/>
      <c r="AM645" s="60"/>
      <c r="AN645" s="60"/>
      <c r="AO645" s="60"/>
      <c r="AP645" s="60"/>
      <c r="AQ645" s="60"/>
      <c r="AR645" s="60"/>
      <c r="AS645" s="60"/>
      <c r="AT645" s="60"/>
      <c r="AU645" s="60"/>
      <c r="AV645" s="60"/>
      <c r="AW645" s="60"/>
      <c r="AX645" s="60"/>
      <c r="AY645" s="60"/>
      <c r="AZ645" s="60"/>
    </row>
    <row r="646" ht="13.5" spans="1:52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  <c r="AB646" s="60"/>
      <c r="AC646" s="60"/>
      <c r="AD646" s="60"/>
      <c r="AE646" s="60"/>
      <c r="AF646" s="60"/>
      <c r="AG646" s="60"/>
      <c r="AH646" s="60"/>
      <c r="AI646" s="60"/>
      <c r="AJ646" s="60"/>
      <c r="AK646" s="60"/>
      <c r="AL646" s="60"/>
      <c r="AM646" s="60"/>
      <c r="AN646" s="60"/>
      <c r="AO646" s="60"/>
      <c r="AP646" s="60"/>
      <c r="AQ646" s="60"/>
      <c r="AR646" s="60"/>
      <c r="AS646" s="60"/>
      <c r="AT646" s="60"/>
      <c r="AU646" s="60"/>
      <c r="AV646" s="60"/>
      <c r="AW646" s="60"/>
      <c r="AX646" s="60"/>
      <c r="AY646" s="60"/>
      <c r="AZ646" s="60"/>
    </row>
    <row r="647" ht="13.5" spans="1:52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  <c r="AA647" s="60"/>
      <c r="AB647" s="60"/>
      <c r="AC647" s="60"/>
      <c r="AD647" s="60"/>
      <c r="AE647" s="60"/>
      <c r="AF647" s="60"/>
      <c r="AG647" s="60"/>
      <c r="AH647" s="60"/>
      <c r="AI647" s="60"/>
      <c r="AJ647" s="60"/>
      <c r="AK647" s="60"/>
      <c r="AL647" s="60"/>
      <c r="AM647" s="60"/>
      <c r="AN647" s="60"/>
      <c r="AO647" s="60"/>
      <c r="AP647" s="60"/>
      <c r="AQ647" s="60"/>
      <c r="AR647" s="60"/>
      <c r="AS647" s="60"/>
      <c r="AT647" s="60"/>
      <c r="AU647" s="60"/>
      <c r="AV647" s="60"/>
      <c r="AW647" s="60"/>
      <c r="AX647" s="60"/>
      <c r="AY647" s="60"/>
      <c r="AZ647" s="60"/>
    </row>
    <row r="648" ht="13.5" spans="1:52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  <c r="AB648" s="60"/>
      <c r="AC648" s="60"/>
      <c r="AD648" s="60"/>
      <c r="AE648" s="60"/>
      <c r="AF648" s="60"/>
      <c r="AG648" s="60"/>
      <c r="AH648" s="60"/>
      <c r="AI648" s="60"/>
      <c r="AJ648" s="60"/>
      <c r="AK648" s="60"/>
      <c r="AL648" s="60"/>
      <c r="AM648" s="60"/>
      <c r="AN648" s="60"/>
      <c r="AO648" s="60"/>
      <c r="AP648" s="60"/>
      <c r="AQ648" s="60"/>
      <c r="AR648" s="60"/>
      <c r="AS648" s="60"/>
      <c r="AT648" s="60"/>
      <c r="AU648" s="60"/>
      <c r="AV648" s="60"/>
      <c r="AW648" s="60"/>
      <c r="AX648" s="60"/>
      <c r="AY648" s="60"/>
      <c r="AZ648" s="60"/>
    </row>
    <row r="649" ht="13.5" spans="1:52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  <c r="AB649" s="60"/>
      <c r="AC649" s="60"/>
      <c r="AD649" s="60"/>
      <c r="AE649" s="60"/>
      <c r="AF649" s="60"/>
      <c r="AG649" s="60"/>
      <c r="AH649" s="60"/>
      <c r="AI649" s="60"/>
      <c r="AJ649" s="60"/>
      <c r="AK649" s="60"/>
      <c r="AL649" s="60"/>
      <c r="AM649" s="60"/>
      <c r="AN649" s="60"/>
      <c r="AO649" s="60"/>
      <c r="AP649" s="60"/>
      <c r="AQ649" s="60"/>
      <c r="AR649" s="60"/>
      <c r="AS649" s="60"/>
      <c r="AT649" s="60"/>
      <c r="AU649" s="60"/>
      <c r="AV649" s="60"/>
      <c r="AW649" s="60"/>
      <c r="AX649" s="60"/>
      <c r="AY649" s="60"/>
      <c r="AZ649" s="60"/>
    </row>
    <row r="650" ht="13.5" spans="1:52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  <c r="AB650" s="60"/>
      <c r="AC650" s="60"/>
      <c r="AD650" s="60"/>
      <c r="AE650" s="60"/>
      <c r="AF650" s="60"/>
      <c r="AG650" s="60"/>
      <c r="AH650" s="60"/>
      <c r="AI650" s="60"/>
      <c r="AJ650" s="60"/>
      <c r="AK650" s="60"/>
      <c r="AL650" s="60"/>
      <c r="AM650" s="60"/>
      <c r="AN650" s="60"/>
      <c r="AO650" s="60"/>
      <c r="AP650" s="60"/>
      <c r="AQ650" s="60"/>
      <c r="AR650" s="60"/>
      <c r="AS650" s="60"/>
      <c r="AT650" s="60"/>
      <c r="AU650" s="60"/>
      <c r="AV650" s="60"/>
      <c r="AW650" s="60"/>
      <c r="AX650" s="60"/>
      <c r="AY650" s="60"/>
      <c r="AZ650" s="60"/>
    </row>
    <row r="651" ht="13.5" spans="1:52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  <c r="AB651" s="60"/>
      <c r="AC651" s="60"/>
      <c r="AD651" s="60"/>
      <c r="AE651" s="60"/>
      <c r="AF651" s="60"/>
      <c r="AG651" s="60"/>
      <c r="AH651" s="60"/>
      <c r="AI651" s="60"/>
      <c r="AJ651" s="60"/>
      <c r="AK651" s="60"/>
      <c r="AL651" s="60"/>
      <c r="AM651" s="60"/>
      <c r="AN651" s="60"/>
      <c r="AO651" s="60"/>
      <c r="AP651" s="60"/>
      <c r="AQ651" s="60"/>
      <c r="AR651" s="60"/>
      <c r="AS651" s="60"/>
      <c r="AT651" s="60"/>
      <c r="AU651" s="60"/>
      <c r="AV651" s="60"/>
      <c r="AW651" s="60"/>
      <c r="AX651" s="60"/>
      <c r="AY651" s="60"/>
      <c r="AZ651" s="60"/>
    </row>
    <row r="652" ht="13.5" spans="1:52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  <c r="AB652" s="60"/>
      <c r="AC652" s="60"/>
      <c r="AD652" s="60"/>
      <c r="AE652" s="60"/>
      <c r="AF652" s="60"/>
      <c r="AG652" s="60"/>
      <c r="AH652" s="60"/>
      <c r="AI652" s="60"/>
      <c r="AJ652" s="60"/>
      <c r="AK652" s="60"/>
      <c r="AL652" s="60"/>
      <c r="AM652" s="60"/>
      <c r="AN652" s="60"/>
      <c r="AO652" s="60"/>
      <c r="AP652" s="60"/>
      <c r="AQ652" s="60"/>
      <c r="AR652" s="60"/>
      <c r="AS652" s="60"/>
      <c r="AT652" s="60"/>
      <c r="AU652" s="60"/>
      <c r="AV652" s="60"/>
      <c r="AW652" s="60"/>
      <c r="AX652" s="60"/>
      <c r="AY652" s="60"/>
      <c r="AZ652" s="60"/>
    </row>
    <row r="653" ht="13.5" spans="1:52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  <c r="AB653" s="60"/>
      <c r="AC653" s="60"/>
      <c r="AD653" s="60"/>
      <c r="AE653" s="60"/>
      <c r="AF653" s="60"/>
      <c r="AG653" s="60"/>
      <c r="AH653" s="60"/>
      <c r="AI653" s="60"/>
      <c r="AJ653" s="60"/>
      <c r="AK653" s="60"/>
      <c r="AL653" s="60"/>
      <c r="AM653" s="60"/>
      <c r="AN653" s="60"/>
      <c r="AO653" s="60"/>
      <c r="AP653" s="60"/>
      <c r="AQ653" s="60"/>
      <c r="AR653" s="60"/>
      <c r="AS653" s="60"/>
      <c r="AT653" s="60"/>
      <c r="AU653" s="60"/>
      <c r="AV653" s="60"/>
      <c r="AW653" s="60"/>
      <c r="AX653" s="60"/>
      <c r="AY653" s="60"/>
      <c r="AZ653" s="60"/>
    </row>
    <row r="654" ht="13.5" spans="1:52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  <c r="AB654" s="60"/>
      <c r="AC654" s="60"/>
      <c r="AD654" s="60"/>
      <c r="AE654" s="60"/>
      <c r="AF654" s="60"/>
      <c r="AG654" s="60"/>
      <c r="AH654" s="60"/>
      <c r="AI654" s="60"/>
      <c r="AJ654" s="60"/>
      <c r="AK654" s="60"/>
      <c r="AL654" s="60"/>
      <c r="AM654" s="60"/>
      <c r="AN654" s="60"/>
      <c r="AO654" s="60"/>
      <c r="AP654" s="60"/>
      <c r="AQ654" s="60"/>
      <c r="AR654" s="60"/>
      <c r="AS654" s="60"/>
      <c r="AT654" s="60"/>
      <c r="AU654" s="60"/>
      <c r="AV654" s="60"/>
      <c r="AW654" s="60"/>
      <c r="AX654" s="60"/>
      <c r="AY654" s="60"/>
      <c r="AZ654" s="60"/>
    </row>
    <row r="655" ht="13.5" spans="1:52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  <c r="AB655" s="60"/>
      <c r="AC655" s="60"/>
      <c r="AD655" s="60"/>
      <c r="AE655" s="60"/>
      <c r="AF655" s="60"/>
      <c r="AG655" s="60"/>
      <c r="AH655" s="60"/>
      <c r="AI655" s="60"/>
      <c r="AJ655" s="60"/>
      <c r="AK655" s="60"/>
      <c r="AL655" s="60"/>
      <c r="AM655" s="60"/>
      <c r="AN655" s="60"/>
      <c r="AO655" s="60"/>
      <c r="AP655" s="60"/>
      <c r="AQ655" s="60"/>
      <c r="AR655" s="60"/>
      <c r="AS655" s="60"/>
      <c r="AT655" s="60"/>
      <c r="AU655" s="60"/>
      <c r="AV655" s="60"/>
      <c r="AW655" s="60"/>
      <c r="AX655" s="60"/>
      <c r="AY655" s="60"/>
      <c r="AZ655" s="60"/>
    </row>
    <row r="656" ht="13.5" spans="1:52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  <c r="AB656" s="60"/>
      <c r="AC656" s="60"/>
      <c r="AD656" s="60"/>
      <c r="AE656" s="60"/>
      <c r="AF656" s="60"/>
      <c r="AG656" s="60"/>
      <c r="AH656" s="60"/>
      <c r="AI656" s="60"/>
      <c r="AJ656" s="60"/>
      <c r="AK656" s="60"/>
      <c r="AL656" s="60"/>
      <c r="AM656" s="60"/>
      <c r="AN656" s="60"/>
      <c r="AO656" s="60"/>
      <c r="AP656" s="60"/>
      <c r="AQ656" s="60"/>
      <c r="AR656" s="60"/>
      <c r="AS656" s="60"/>
      <c r="AT656" s="60"/>
      <c r="AU656" s="60"/>
      <c r="AV656" s="60"/>
      <c r="AW656" s="60"/>
      <c r="AX656" s="60"/>
      <c r="AY656" s="60"/>
      <c r="AZ656" s="60"/>
    </row>
    <row r="657" ht="13.5" spans="1:52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  <c r="AB657" s="60"/>
      <c r="AC657" s="60"/>
      <c r="AD657" s="60"/>
      <c r="AE657" s="60"/>
      <c r="AF657" s="60"/>
      <c r="AG657" s="60"/>
      <c r="AH657" s="60"/>
      <c r="AI657" s="60"/>
      <c r="AJ657" s="60"/>
      <c r="AK657" s="60"/>
      <c r="AL657" s="60"/>
      <c r="AM657" s="60"/>
      <c r="AN657" s="60"/>
      <c r="AO657" s="60"/>
      <c r="AP657" s="60"/>
      <c r="AQ657" s="60"/>
      <c r="AR657" s="60"/>
      <c r="AS657" s="60"/>
      <c r="AT657" s="60"/>
      <c r="AU657" s="60"/>
      <c r="AV657" s="60"/>
      <c r="AW657" s="60"/>
      <c r="AX657" s="60"/>
      <c r="AY657" s="60"/>
      <c r="AZ657" s="60"/>
    </row>
    <row r="658" ht="13.5" spans="1:52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  <c r="AB658" s="60"/>
      <c r="AC658" s="60"/>
      <c r="AD658" s="60"/>
      <c r="AE658" s="60"/>
      <c r="AF658" s="60"/>
      <c r="AG658" s="60"/>
      <c r="AH658" s="60"/>
      <c r="AI658" s="60"/>
      <c r="AJ658" s="60"/>
      <c r="AK658" s="60"/>
      <c r="AL658" s="60"/>
      <c r="AM658" s="60"/>
      <c r="AN658" s="60"/>
      <c r="AO658" s="60"/>
      <c r="AP658" s="60"/>
      <c r="AQ658" s="60"/>
      <c r="AR658" s="60"/>
      <c r="AS658" s="60"/>
      <c r="AT658" s="60"/>
      <c r="AU658" s="60"/>
      <c r="AV658" s="60"/>
      <c r="AW658" s="60"/>
      <c r="AX658" s="60"/>
      <c r="AY658" s="60"/>
      <c r="AZ658" s="60"/>
    </row>
    <row r="659" ht="13.5" spans="1:52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  <c r="AB659" s="60"/>
      <c r="AC659" s="60"/>
      <c r="AD659" s="60"/>
      <c r="AE659" s="60"/>
      <c r="AF659" s="60"/>
      <c r="AG659" s="60"/>
      <c r="AH659" s="60"/>
      <c r="AI659" s="60"/>
      <c r="AJ659" s="60"/>
      <c r="AK659" s="60"/>
      <c r="AL659" s="60"/>
      <c r="AM659" s="60"/>
      <c r="AN659" s="60"/>
      <c r="AO659" s="60"/>
      <c r="AP659" s="60"/>
      <c r="AQ659" s="60"/>
      <c r="AR659" s="60"/>
      <c r="AS659" s="60"/>
      <c r="AT659" s="60"/>
      <c r="AU659" s="60"/>
      <c r="AV659" s="60"/>
      <c r="AW659" s="60"/>
      <c r="AX659" s="60"/>
      <c r="AY659" s="60"/>
      <c r="AZ659" s="60"/>
    </row>
    <row r="660" ht="13.5" spans="1:52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60"/>
      <c r="AB660" s="60"/>
      <c r="AC660" s="60"/>
      <c r="AD660" s="60"/>
      <c r="AE660" s="60"/>
      <c r="AF660" s="60"/>
      <c r="AG660" s="60"/>
      <c r="AH660" s="60"/>
      <c r="AI660" s="60"/>
      <c r="AJ660" s="60"/>
      <c r="AK660" s="60"/>
      <c r="AL660" s="60"/>
      <c r="AM660" s="60"/>
      <c r="AN660" s="60"/>
      <c r="AO660" s="60"/>
      <c r="AP660" s="60"/>
      <c r="AQ660" s="60"/>
      <c r="AR660" s="60"/>
      <c r="AS660" s="60"/>
      <c r="AT660" s="60"/>
      <c r="AU660" s="60"/>
      <c r="AV660" s="60"/>
      <c r="AW660" s="60"/>
      <c r="AX660" s="60"/>
      <c r="AY660" s="60"/>
      <c r="AZ660" s="60"/>
    </row>
    <row r="661" ht="13.5" spans="1:52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60"/>
      <c r="AB661" s="60"/>
      <c r="AC661" s="60"/>
      <c r="AD661" s="60"/>
      <c r="AE661" s="60"/>
      <c r="AF661" s="60"/>
      <c r="AG661" s="60"/>
      <c r="AH661" s="60"/>
      <c r="AI661" s="60"/>
      <c r="AJ661" s="60"/>
      <c r="AK661" s="60"/>
      <c r="AL661" s="60"/>
      <c r="AM661" s="60"/>
      <c r="AN661" s="60"/>
      <c r="AO661" s="60"/>
      <c r="AP661" s="60"/>
      <c r="AQ661" s="60"/>
      <c r="AR661" s="60"/>
      <c r="AS661" s="60"/>
      <c r="AT661" s="60"/>
      <c r="AU661" s="60"/>
      <c r="AV661" s="60"/>
      <c r="AW661" s="60"/>
      <c r="AX661" s="60"/>
      <c r="AY661" s="60"/>
      <c r="AZ661" s="60"/>
    </row>
    <row r="662" ht="13.5" spans="1:52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60"/>
      <c r="AB662" s="60"/>
      <c r="AC662" s="60"/>
      <c r="AD662" s="60"/>
      <c r="AE662" s="60"/>
      <c r="AF662" s="60"/>
      <c r="AG662" s="60"/>
      <c r="AH662" s="60"/>
      <c r="AI662" s="60"/>
      <c r="AJ662" s="60"/>
      <c r="AK662" s="60"/>
      <c r="AL662" s="60"/>
      <c r="AM662" s="60"/>
      <c r="AN662" s="60"/>
      <c r="AO662" s="60"/>
      <c r="AP662" s="60"/>
      <c r="AQ662" s="60"/>
      <c r="AR662" s="60"/>
      <c r="AS662" s="60"/>
      <c r="AT662" s="60"/>
      <c r="AU662" s="60"/>
      <c r="AV662" s="60"/>
      <c r="AW662" s="60"/>
      <c r="AX662" s="60"/>
      <c r="AY662" s="60"/>
      <c r="AZ662" s="60"/>
    </row>
    <row r="663" ht="13.5" spans="1:52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  <c r="AA663" s="60"/>
      <c r="AB663" s="60"/>
      <c r="AC663" s="60"/>
      <c r="AD663" s="60"/>
      <c r="AE663" s="60"/>
      <c r="AF663" s="60"/>
      <c r="AG663" s="60"/>
      <c r="AH663" s="60"/>
      <c r="AI663" s="60"/>
      <c r="AJ663" s="60"/>
      <c r="AK663" s="60"/>
      <c r="AL663" s="60"/>
      <c r="AM663" s="60"/>
      <c r="AN663" s="60"/>
      <c r="AO663" s="60"/>
      <c r="AP663" s="60"/>
      <c r="AQ663" s="60"/>
      <c r="AR663" s="60"/>
      <c r="AS663" s="60"/>
      <c r="AT663" s="60"/>
      <c r="AU663" s="60"/>
      <c r="AV663" s="60"/>
      <c r="AW663" s="60"/>
      <c r="AX663" s="60"/>
      <c r="AY663" s="60"/>
      <c r="AZ663" s="60"/>
    </row>
    <row r="664" ht="13.5" spans="1:52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  <c r="AA664" s="60"/>
      <c r="AB664" s="60"/>
      <c r="AC664" s="60"/>
      <c r="AD664" s="60"/>
      <c r="AE664" s="60"/>
      <c r="AF664" s="60"/>
      <c r="AG664" s="60"/>
      <c r="AH664" s="60"/>
      <c r="AI664" s="60"/>
      <c r="AJ664" s="60"/>
      <c r="AK664" s="60"/>
      <c r="AL664" s="60"/>
      <c r="AM664" s="60"/>
      <c r="AN664" s="60"/>
      <c r="AO664" s="60"/>
      <c r="AP664" s="60"/>
      <c r="AQ664" s="60"/>
      <c r="AR664" s="60"/>
      <c r="AS664" s="60"/>
      <c r="AT664" s="60"/>
      <c r="AU664" s="60"/>
      <c r="AV664" s="60"/>
      <c r="AW664" s="60"/>
      <c r="AX664" s="60"/>
      <c r="AY664" s="60"/>
      <c r="AZ664" s="60"/>
    </row>
    <row r="665" ht="13.5" spans="1:52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  <c r="AA665" s="60"/>
      <c r="AB665" s="60"/>
      <c r="AC665" s="60"/>
      <c r="AD665" s="60"/>
      <c r="AE665" s="60"/>
      <c r="AF665" s="60"/>
      <c r="AG665" s="60"/>
      <c r="AH665" s="60"/>
      <c r="AI665" s="60"/>
      <c r="AJ665" s="60"/>
      <c r="AK665" s="60"/>
      <c r="AL665" s="60"/>
      <c r="AM665" s="60"/>
      <c r="AN665" s="60"/>
      <c r="AO665" s="60"/>
      <c r="AP665" s="60"/>
      <c r="AQ665" s="60"/>
      <c r="AR665" s="60"/>
      <c r="AS665" s="60"/>
      <c r="AT665" s="60"/>
      <c r="AU665" s="60"/>
      <c r="AV665" s="60"/>
      <c r="AW665" s="60"/>
      <c r="AX665" s="60"/>
      <c r="AY665" s="60"/>
      <c r="AZ665" s="60"/>
    </row>
    <row r="666" ht="13.5" spans="1:52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  <c r="AA666" s="60"/>
      <c r="AB666" s="60"/>
      <c r="AC666" s="60"/>
      <c r="AD666" s="60"/>
      <c r="AE666" s="60"/>
      <c r="AF666" s="60"/>
      <c r="AG666" s="60"/>
      <c r="AH666" s="60"/>
      <c r="AI666" s="60"/>
      <c r="AJ666" s="60"/>
      <c r="AK666" s="60"/>
      <c r="AL666" s="60"/>
      <c r="AM666" s="60"/>
      <c r="AN666" s="60"/>
      <c r="AO666" s="60"/>
      <c r="AP666" s="60"/>
      <c r="AQ666" s="60"/>
      <c r="AR666" s="60"/>
      <c r="AS666" s="60"/>
      <c r="AT666" s="60"/>
      <c r="AU666" s="60"/>
      <c r="AV666" s="60"/>
      <c r="AW666" s="60"/>
      <c r="AX666" s="60"/>
      <c r="AY666" s="60"/>
      <c r="AZ666" s="60"/>
    </row>
    <row r="667" ht="13.5" spans="1:52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  <c r="AB667" s="60"/>
      <c r="AC667" s="60"/>
      <c r="AD667" s="60"/>
      <c r="AE667" s="60"/>
      <c r="AF667" s="60"/>
      <c r="AG667" s="60"/>
      <c r="AH667" s="60"/>
      <c r="AI667" s="60"/>
      <c r="AJ667" s="60"/>
      <c r="AK667" s="60"/>
      <c r="AL667" s="60"/>
      <c r="AM667" s="60"/>
      <c r="AN667" s="60"/>
      <c r="AO667" s="60"/>
      <c r="AP667" s="60"/>
      <c r="AQ667" s="60"/>
      <c r="AR667" s="60"/>
      <c r="AS667" s="60"/>
      <c r="AT667" s="60"/>
      <c r="AU667" s="60"/>
      <c r="AV667" s="60"/>
      <c r="AW667" s="60"/>
      <c r="AX667" s="60"/>
      <c r="AY667" s="60"/>
      <c r="AZ667" s="60"/>
    </row>
    <row r="668" ht="13.5" spans="1:52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  <c r="AK668" s="60"/>
      <c r="AL668" s="60"/>
      <c r="AM668" s="60"/>
      <c r="AN668" s="60"/>
      <c r="AO668" s="60"/>
      <c r="AP668" s="60"/>
      <c r="AQ668" s="60"/>
      <c r="AR668" s="60"/>
      <c r="AS668" s="60"/>
      <c r="AT668" s="60"/>
      <c r="AU668" s="60"/>
      <c r="AV668" s="60"/>
      <c r="AW668" s="60"/>
      <c r="AX668" s="60"/>
      <c r="AY668" s="60"/>
      <c r="AZ668" s="60"/>
    </row>
    <row r="669" ht="13.5" spans="1:52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  <c r="AA669" s="60"/>
      <c r="AB669" s="60"/>
      <c r="AC669" s="60"/>
      <c r="AD669" s="60"/>
      <c r="AE669" s="60"/>
      <c r="AF669" s="60"/>
      <c r="AG669" s="60"/>
      <c r="AH669" s="60"/>
      <c r="AI669" s="60"/>
      <c r="AJ669" s="60"/>
      <c r="AK669" s="60"/>
      <c r="AL669" s="60"/>
      <c r="AM669" s="60"/>
      <c r="AN669" s="60"/>
      <c r="AO669" s="60"/>
      <c r="AP669" s="60"/>
      <c r="AQ669" s="60"/>
      <c r="AR669" s="60"/>
      <c r="AS669" s="60"/>
      <c r="AT669" s="60"/>
      <c r="AU669" s="60"/>
      <c r="AV669" s="60"/>
      <c r="AW669" s="60"/>
      <c r="AX669" s="60"/>
      <c r="AY669" s="60"/>
      <c r="AZ669" s="60"/>
    </row>
    <row r="670" ht="13.5" spans="1:52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  <c r="AA670" s="60"/>
      <c r="AB670" s="60"/>
      <c r="AC670" s="60"/>
      <c r="AD670" s="60"/>
      <c r="AE670" s="60"/>
      <c r="AF670" s="60"/>
      <c r="AG670" s="60"/>
      <c r="AH670" s="60"/>
      <c r="AI670" s="60"/>
      <c r="AJ670" s="60"/>
      <c r="AK670" s="60"/>
      <c r="AL670" s="60"/>
      <c r="AM670" s="60"/>
      <c r="AN670" s="60"/>
      <c r="AO670" s="60"/>
      <c r="AP670" s="60"/>
      <c r="AQ670" s="60"/>
      <c r="AR670" s="60"/>
      <c r="AS670" s="60"/>
      <c r="AT670" s="60"/>
      <c r="AU670" s="60"/>
      <c r="AV670" s="60"/>
      <c r="AW670" s="60"/>
      <c r="AX670" s="60"/>
      <c r="AY670" s="60"/>
      <c r="AZ670" s="60"/>
    </row>
    <row r="671" ht="13.5" spans="1:52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60"/>
      <c r="AB671" s="60"/>
      <c r="AC671" s="60"/>
      <c r="AD671" s="60"/>
      <c r="AE671" s="60"/>
      <c r="AF671" s="60"/>
      <c r="AG671" s="60"/>
      <c r="AH671" s="60"/>
      <c r="AI671" s="60"/>
      <c r="AJ671" s="60"/>
      <c r="AK671" s="60"/>
      <c r="AL671" s="60"/>
      <c r="AM671" s="60"/>
      <c r="AN671" s="60"/>
      <c r="AO671" s="60"/>
      <c r="AP671" s="60"/>
      <c r="AQ671" s="60"/>
      <c r="AR671" s="60"/>
      <c r="AS671" s="60"/>
      <c r="AT671" s="60"/>
      <c r="AU671" s="60"/>
      <c r="AV671" s="60"/>
      <c r="AW671" s="60"/>
      <c r="AX671" s="60"/>
      <c r="AY671" s="60"/>
      <c r="AZ671" s="60"/>
    </row>
    <row r="672" ht="13.5" spans="1:52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60"/>
      <c r="AB672" s="60"/>
      <c r="AC672" s="60"/>
      <c r="AD672" s="60"/>
      <c r="AE672" s="60"/>
      <c r="AF672" s="60"/>
      <c r="AG672" s="60"/>
      <c r="AH672" s="60"/>
      <c r="AI672" s="60"/>
      <c r="AJ672" s="60"/>
      <c r="AK672" s="60"/>
      <c r="AL672" s="60"/>
      <c r="AM672" s="60"/>
      <c r="AN672" s="60"/>
      <c r="AO672" s="60"/>
      <c r="AP672" s="60"/>
      <c r="AQ672" s="60"/>
      <c r="AR672" s="60"/>
      <c r="AS672" s="60"/>
      <c r="AT672" s="60"/>
      <c r="AU672" s="60"/>
      <c r="AV672" s="60"/>
      <c r="AW672" s="60"/>
      <c r="AX672" s="60"/>
      <c r="AY672" s="60"/>
      <c r="AZ672" s="60"/>
    </row>
    <row r="673" ht="13.5" spans="1:52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  <c r="AA673" s="60"/>
      <c r="AB673" s="60"/>
      <c r="AC673" s="60"/>
      <c r="AD673" s="60"/>
      <c r="AE673" s="60"/>
      <c r="AF673" s="60"/>
      <c r="AG673" s="60"/>
      <c r="AH673" s="60"/>
      <c r="AI673" s="60"/>
      <c r="AJ673" s="60"/>
      <c r="AK673" s="60"/>
      <c r="AL673" s="60"/>
      <c r="AM673" s="60"/>
      <c r="AN673" s="60"/>
      <c r="AO673" s="60"/>
      <c r="AP673" s="60"/>
      <c r="AQ673" s="60"/>
      <c r="AR673" s="60"/>
      <c r="AS673" s="60"/>
      <c r="AT673" s="60"/>
      <c r="AU673" s="60"/>
      <c r="AV673" s="60"/>
      <c r="AW673" s="60"/>
      <c r="AX673" s="60"/>
      <c r="AY673" s="60"/>
      <c r="AZ673" s="60"/>
    </row>
    <row r="674" ht="13.5" spans="1:52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  <c r="AA674" s="60"/>
      <c r="AB674" s="60"/>
      <c r="AC674" s="60"/>
      <c r="AD674" s="60"/>
      <c r="AE674" s="60"/>
      <c r="AF674" s="60"/>
      <c r="AG674" s="60"/>
      <c r="AH674" s="60"/>
      <c r="AI674" s="60"/>
      <c r="AJ674" s="60"/>
      <c r="AK674" s="60"/>
      <c r="AL674" s="60"/>
      <c r="AM674" s="60"/>
      <c r="AN674" s="60"/>
      <c r="AO674" s="60"/>
      <c r="AP674" s="60"/>
      <c r="AQ674" s="60"/>
      <c r="AR674" s="60"/>
      <c r="AS674" s="60"/>
      <c r="AT674" s="60"/>
      <c r="AU674" s="60"/>
      <c r="AV674" s="60"/>
      <c r="AW674" s="60"/>
      <c r="AX674" s="60"/>
      <c r="AY674" s="60"/>
      <c r="AZ674" s="60"/>
    </row>
    <row r="675" ht="13.5" spans="1:52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  <c r="AA675" s="60"/>
      <c r="AB675" s="60"/>
      <c r="AC675" s="60"/>
      <c r="AD675" s="60"/>
      <c r="AE675" s="60"/>
      <c r="AF675" s="60"/>
      <c r="AG675" s="60"/>
      <c r="AH675" s="60"/>
      <c r="AI675" s="60"/>
      <c r="AJ675" s="60"/>
      <c r="AK675" s="60"/>
      <c r="AL675" s="60"/>
      <c r="AM675" s="60"/>
      <c r="AN675" s="60"/>
      <c r="AO675" s="60"/>
      <c r="AP675" s="60"/>
      <c r="AQ675" s="60"/>
      <c r="AR675" s="60"/>
      <c r="AS675" s="60"/>
      <c r="AT675" s="60"/>
      <c r="AU675" s="60"/>
      <c r="AV675" s="60"/>
      <c r="AW675" s="60"/>
      <c r="AX675" s="60"/>
      <c r="AY675" s="60"/>
      <c r="AZ675" s="60"/>
    </row>
    <row r="676" ht="13.5" spans="1:52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  <c r="AA676" s="60"/>
      <c r="AB676" s="60"/>
      <c r="AC676" s="60"/>
      <c r="AD676" s="60"/>
      <c r="AE676" s="60"/>
      <c r="AF676" s="60"/>
      <c r="AG676" s="60"/>
      <c r="AH676" s="60"/>
      <c r="AI676" s="60"/>
      <c r="AJ676" s="60"/>
      <c r="AK676" s="60"/>
      <c r="AL676" s="60"/>
      <c r="AM676" s="60"/>
      <c r="AN676" s="60"/>
      <c r="AO676" s="60"/>
      <c r="AP676" s="60"/>
      <c r="AQ676" s="60"/>
      <c r="AR676" s="60"/>
      <c r="AS676" s="60"/>
      <c r="AT676" s="60"/>
      <c r="AU676" s="60"/>
      <c r="AV676" s="60"/>
      <c r="AW676" s="60"/>
      <c r="AX676" s="60"/>
      <c r="AY676" s="60"/>
      <c r="AZ676" s="60"/>
    </row>
    <row r="677" ht="13.5" spans="1:52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  <c r="AA677" s="60"/>
      <c r="AB677" s="60"/>
      <c r="AC677" s="60"/>
      <c r="AD677" s="60"/>
      <c r="AE677" s="60"/>
      <c r="AF677" s="60"/>
      <c r="AG677" s="60"/>
      <c r="AH677" s="60"/>
      <c r="AI677" s="60"/>
      <c r="AJ677" s="60"/>
      <c r="AK677" s="60"/>
      <c r="AL677" s="60"/>
      <c r="AM677" s="60"/>
      <c r="AN677" s="60"/>
      <c r="AO677" s="60"/>
      <c r="AP677" s="60"/>
      <c r="AQ677" s="60"/>
      <c r="AR677" s="60"/>
      <c r="AS677" s="60"/>
      <c r="AT677" s="60"/>
      <c r="AU677" s="60"/>
      <c r="AV677" s="60"/>
      <c r="AW677" s="60"/>
      <c r="AX677" s="60"/>
      <c r="AY677" s="60"/>
      <c r="AZ677" s="60"/>
    </row>
    <row r="678" ht="13.5" spans="1:52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  <c r="AA678" s="60"/>
      <c r="AB678" s="60"/>
      <c r="AC678" s="60"/>
      <c r="AD678" s="60"/>
      <c r="AE678" s="60"/>
      <c r="AF678" s="60"/>
      <c r="AG678" s="60"/>
      <c r="AH678" s="60"/>
      <c r="AI678" s="60"/>
      <c r="AJ678" s="60"/>
      <c r="AK678" s="60"/>
      <c r="AL678" s="60"/>
      <c r="AM678" s="60"/>
      <c r="AN678" s="60"/>
      <c r="AO678" s="60"/>
      <c r="AP678" s="60"/>
      <c r="AQ678" s="60"/>
      <c r="AR678" s="60"/>
      <c r="AS678" s="60"/>
      <c r="AT678" s="60"/>
      <c r="AU678" s="60"/>
      <c r="AV678" s="60"/>
      <c r="AW678" s="60"/>
      <c r="AX678" s="60"/>
      <c r="AY678" s="60"/>
      <c r="AZ678" s="60"/>
    </row>
    <row r="679" ht="13.5" spans="1:52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  <c r="AA679" s="60"/>
      <c r="AB679" s="60"/>
      <c r="AC679" s="60"/>
      <c r="AD679" s="60"/>
      <c r="AE679" s="60"/>
      <c r="AF679" s="60"/>
      <c r="AG679" s="60"/>
      <c r="AH679" s="60"/>
      <c r="AI679" s="60"/>
      <c r="AJ679" s="60"/>
      <c r="AK679" s="60"/>
      <c r="AL679" s="60"/>
      <c r="AM679" s="60"/>
      <c r="AN679" s="60"/>
      <c r="AO679" s="60"/>
      <c r="AP679" s="60"/>
      <c r="AQ679" s="60"/>
      <c r="AR679" s="60"/>
      <c r="AS679" s="60"/>
      <c r="AT679" s="60"/>
      <c r="AU679" s="60"/>
      <c r="AV679" s="60"/>
      <c r="AW679" s="60"/>
      <c r="AX679" s="60"/>
      <c r="AY679" s="60"/>
      <c r="AZ679" s="60"/>
    </row>
    <row r="680" ht="13.5" spans="1:52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  <c r="AA680" s="60"/>
      <c r="AB680" s="60"/>
      <c r="AC680" s="60"/>
      <c r="AD680" s="60"/>
      <c r="AE680" s="60"/>
      <c r="AF680" s="60"/>
      <c r="AG680" s="60"/>
      <c r="AH680" s="60"/>
      <c r="AI680" s="60"/>
      <c r="AJ680" s="60"/>
      <c r="AK680" s="60"/>
      <c r="AL680" s="60"/>
      <c r="AM680" s="60"/>
      <c r="AN680" s="60"/>
      <c r="AO680" s="60"/>
      <c r="AP680" s="60"/>
      <c r="AQ680" s="60"/>
      <c r="AR680" s="60"/>
      <c r="AS680" s="60"/>
      <c r="AT680" s="60"/>
      <c r="AU680" s="60"/>
      <c r="AV680" s="60"/>
      <c r="AW680" s="60"/>
      <c r="AX680" s="60"/>
      <c r="AY680" s="60"/>
      <c r="AZ680" s="60"/>
    </row>
    <row r="681" ht="13.5" spans="1:52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  <c r="AA681" s="60"/>
      <c r="AB681" s="60"/>
      <c r="AC681" s="60"/>
      <c r="AD681" s="60"/>
      <c r="AE681" s="60"/>
      <c r="AF681" s="60"/>
      <c r="AG681" s="60"/>
      <c r="AH681" s="60"/>
      <c r="AI681" s="60"/>
      <c r="AJ681" s="60"/>
      <c r="AK681" s="60"/>
      <c r="AL681" s="60"/>
      <c r="AM681" s="60"/>
      <c r="AN681" s="60"/>
      <c r="AO681" s="60"/>
      <c r="AP681" s="60"/>
      <c r="AQ681" s="60"/>
      <c r="AR681" s="60"/>
      <c r="AS681" s="60"/>
      <c r="AT681" s="60"/>
      <c r="AU681" s="60"/>
      <c r="AV681" s="60"/>
      <c r="AW681" s="60"/>
      <c r="AX681" s="60"/>
      <c r="AY681" s="60"/>
      <c r="AZ681" s="60"/>
    </row>
    <row r="682" ht="13.5" spans="1:52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  <c r="AA682" s="60"/>
      <c r="AB682" s="60"/>
      <c r="AC682" s="60"/>
      <c r="AD682" s="60"/>
      <c r="AE682" s="60"/>
      <c r="AF682" s="60"/>
      <c r="AG682" s="60"/>
      <c r="AH682" s="60"/>
      <c r="AI682" s="60"/>
      <c r="AJ682" s="60"/>
      <c r="AK682" s="60"/>
      <c r="AL682" s="60"/>
      <c r="AM682" s="60"/>
      <c r="AN682" s="60"/>
      <c r="AO682" s="60"/>
      <c r="AP682" s="60"/>
      <c r="AQ682" s="60"/>
      <c r="AR682" s="60"/>
      <c r="AS682" s="60"/>
      <c r="AT682" s="60"/>
      <c r="AU682" s="60"/>
      <c r="AV682" s="60"/>
      <c r="AW682" s="60"/>
      <c r="AX682" s="60"/>
      <c r="AY682" s="60"/>
      <c r="AZ682" s="60"/>
    </row>
    <row r="683" ht="13.5" spans="1:52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  <c r="AA683" s="60"/>
      <c r="AB683" s="60"/>
      <c r="AC683" s="60"/>
      <c r="AD683" s="60"/>
      <c r="AE683" s="60"/>
      <c r="AF683" s="60"/>
      <c r="AG683" s="60"/>
      <c r="AH683" s="60"/>
      <c r="AI683" s="60"/>
      <c r="AJ683" s="60"/>
      <c r="AK683" s="60"/>
      <c r="AL683" s="60"/>
      <c r="AM683" s="60"/>
      <c r="AN683" s="60"/>
      <c r="AO683" s="60"/>
      <c r="AP683" s="60"/>
      <c r="AQ683" s="60"/>
      <c r="AR683" s="60"/>
      <c r="AS683" s="60"/>
      <c r="AT683" s="60"/>
      <c r="AU683" s="60"/>
      <c r="AV683" s="60"/>
      <c r="AW683" s="60"/>
      <c r="AX683" s="60"/>
      <c r="AY683" s="60"/>
      <c r="AZ683" s="60"/>
    </row>
    <row r="684" ht="13.5" spans="1:52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  <c r="AA684" s="60"/>
      <c r="AB684" s="60"/>
      <c r="AC684" s="60"/>
      <c r="AD684" s="60"/>
      <c r="AE684" s="60"/>
      <c r="AF684" s="60"/>
      <c r="AG684" s="60"/>
      <c r="AH684" s="60"/>
      <c r="AI684" s="60"/>
      <c r="AJ684" s="60"/>
      <c r="AK684" s="60"/>
      <c r="AL684" s="60"/>
      <c r="AM684" s="60"/>
      <c r="AN684" s="60"/>
      <c r="AO684" s="60"/>
      <c r="AP684" s="60"/>
      <c r="AQ684" s="60"/>
      <c r="AR684" s="60"/>
      <c r="AS684" s="60"/>
      <c r="AT684" s="60"/>
      <c r="AU684" s="60"/>
      <c r="AV684" s="60"/>
      <c r="AW684" s="60"/>
      <c r="AX684" s="60"/>
      <c r="AY684" s="60"/>
      <c r="AZ684" s="60"/>
    </row>
    <row r="685" ht="13.5" spans="1:52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  <c r="AA685" s="60"/>
      <c r="AB685" s="60"/>
      <c r="AC685" s="60"/>
      <c r="AD685" s="60"/>
      <c r="AE685" s="60"/>
      <c r="AF685" s="60"/>
      <c r="AG685" s="60"/>
      <c r="AH685" s="60"/>
      <c r="AI685" s="60"/>
      <c r="AJ685" s="60"/>
      <c r="AK685" s="60"/>
      <c r="AL685" s="60"/>
      <c r="AM685" s="60"/>
      <c r="AN685" s="60"/>
      <c r="AO685" s="60"/>
      <c r="AP685" s="60"/>
      <c r="AQ685" s="60"/>
      <c r="AR685" s="60"/>
      <c r="AS685" s="60"/>
      <c r="AT685" s="60"/>
      <c r="AU685" s="60"/>
      <c r="AV685" s="60"/>
      <c r="AW685" s="60"/>
      <c r="AX685" s="60"/>
      <c r="AY685" s="60"/>
      <c r="AZ685" s="60"/>
    </row>
    <row r="686" ht="13.5" spans="1:52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  <c r="AA686" s="60"/>
      <c r="AB686" s="60"/>
      <c r="AC686" s="60"/>
      <c r="AD686" s="60"/>
      <c r="AE686" s="60"/>
      <c r="AF686" s="60"/>
      <c r="AG686" s="60"/>
      <c r="AH686" s="60"/>
      <c r="AI686" s="60"/>
      <c r="AJ686" s="60"/>
      <c r="AK686" s="60"/>
      <c r="AL686" s="60"/>
      <c r="AM686" s="60"/>
      <c r="AN686" s="60"/>
      <c r="AO686" s="60"/>
      <c r="AP686" s="60"/>
      <c r="AQ686" s="60"/>
      <c r="AR686" s="60"/>
      <c r="AS686" s="60"/>
      <c r="AT686" s="60"/>
      <c r="AU686" s="60"/>
      <c r="AV686" s="60"/>
      <c r="AW686" s="60"/>
      <c r="AX686" s="60"/>
      <c r="AY686" s="60"/>
      <c r="AZ686" s="60"/>
    </row>
    <row r="687" ht="13.5" spans="1:52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  <c r="AA687" s="60"/>
      <c r="AB687" s="60"/>
      <c r="AC687" s="60"/>
      <c r="AD687" s="60"/>
      <c r="AE687" s="60"/>
      <c r="AF687" s="60"/>
      <c r="AG687" s="60"/>
      <c r="AH687" s="60"/>
      <c r="AI687" s="60"/>
      <c r="AJ687" s="60"/>
      <c r="AK687" s="60"/>
      <c r="AL687" s="60"/>
      <c r="AM687" s="60"/>
      <c r="AN687" s="60"/>
      <c r="AO687" s="60"/>
      <c r="AP687" s="60"/>
      <c r="AQ687" s="60"/>
      <c r="AR687" s="60"/>
      <c r="AS687" s="60"/>
      <c r="AT687" s="60"/>
      <c r="AU687" s="60"/>
      <c r="AV687" s="60"/>
      <c r="AW687" s="60"/>
      <c r="AX687" s="60"/>
      <c r="AY687" s="60"/>
      <c r="AZ687" s="60"/>
    </row>
    <row r="688" ht="13.5" spans="1:52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  <c r="AA688" s="60"/>
      <c r="AB688" s="60"/>
      <c r="AC688" s="60"/>
      <c r="AD688" s="60"/>
      <c r="AE688" s="60"/>
      <c r="AF688" s="60"/>
      <c r="AG688" s="60"/>
      <c r="AH688" s="60"/>
      <c r="AI688" s="60"/>
      <c r="AJ688" s="60"/>
      <c r="AK688" s="60"/>
      <c r="AL688" s="60"/>
      <c r="AM688" s="60"/>
      <c r="AN688" s="60"/>
      <c r="AO688" s="60"/>
      <c r="AP688" s="60"/>
      <c r="AQ688" s="60"/>
      <c r="AR688" s="60"/>
      <c r="AS688" s="60"/>
      <c r="AT688" s="60"/>
      <c r="AU688" s="60"/>
      <c r="AV688" s="60"/>
      <c r="AW688" s="60"/>
      <c r="AX688" s="60"/>
      <c r="AY688" s="60"/>
      <c r="AZ688" s="60"/>
    </row>
    <row r="689" ht="13.5" spans="1:52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  <c r="AA689" s="60"/>
      <c r="AB689" s="60"/>
      <c r="AC689" s="60"/>
      <c r="AD689" s="60"/>
      <c r="AE689" s="60"/>
      <c r="AF689" s="60"/>
      <c r="AG689" s="60"/>
      <c r="AH689" s="60"/>
      <c r="AI689" s="60"/>
      <c r="AJ689" s="60"/>
      <c r="AK689" s="60"/>
      <c r="AL689" s="60"/>
      <c r="AM689" s="60"/>
      <c r="AN689" s="60"/>
      <c r="AO689" s="60"/>
      <c r="AP689" s="60"/>
      <c r="AQ689" s="60"/>
      <c r="AR689" s="60"/>
      <c r="AS689" s="60"/>
      <c r="AT689" s="60"/>
      <c r="AU689" s="60"/>
      <c r="AV689" s="60"/>
      <c r="AW689" s="60"/>
      <c r="AX689" s="60"/>
      <c r="AY689" s="60"/>
      <c r="AZ689" s="60"/>
    </row>
    <row r="690" ht="13.5" spans="1:52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  <c r="AA690" s="60"/>
      <c r="AB690" s="60"/>
      <c r="AC690" s="60"/>
      <c r="AD690" s="60"/>
      <c r="AE690" s="60"/>
      <c r="AF690" s="60"/>
      <c r="AG690" s="60"/>
      <c r="AH690" s="60"/>
      <c r="AI690" s="60"/>
      <c r="AJ690" s="60"/>
      <c r="AK690" s="60"/>
      <c r="AL690" s="60"/>
      <c r="AM690" s="60"/>
      <c r="AN690" s="60"/>
      <c r="AO690" s="60"/>
      <c r="AP690" s="60"/>
      <c r="AQ690" s="60"/>
      <c r="AR690" s="60"/>
      <c r="AS690" s="60"/>
      <c r="AT690" s="60"/>
      <c r="AU690" s="60"/>
      <c r="AV690" s="60"/>
      <c r="AW690" s="60"/>
      <c r="AX690" s="60"/>
      <c r="AY690" s="60"/>
      <c r="AZ690" s="60"/>
    </row>
    <row r="691" ht="13.5" spans="1:52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  <c r="AA691" s="60"/>
      <c r="AB691" s="60"/>
      <c r="AC691" s="60"/>
      <c r="AD691" s="60"/>
      <c r="AE691" s="60"/>
      <c r="AF691" s="60"/>
      <c r="AG691" s="60"/>
      <c r="AH691" s="60"/>
      <c r="AI691" s="60"/>
      <c r="AJ691" s="60"/>
      <c r="AK691" s="60"/>
      <c r="AL691" s="60"/>
      <c r="AM691" s="60"/>
      <c r="AN691" s="60"/>
      <c r="AO691" s="60"/>
      <c r="AP691" s="60"/>
      <c r="AQ691" s="60"/>
      <c r="AR691" s="60"/>
      <c r="AS691" s="60"/>
      <c r="AT691" s="60"/>
      <c r="AU691" s="60"/>
      <c r="AV691" s="60"/>
      <c r="AW691" s="60"/>
      <c r="AX691" s="60"/>
      <c r="AY691" s="60"/>
      <c r="AZ691" s="60"/>
    </row>
    <row r="692" ht="13.5" spans="1:52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  <c r="AA692" s="60"/>
      <c r="AB692" s="60"/>
      <c r="AC692" s="60"/>
      <c r="AD692" s="60"/>
      <c r="AE692" s="60"/>
      <c r="AF692" s="60"/>
      <c r="AG692" s="60"/>
      <c r="AH692" s="60"/>
      <c r="AI692" s="60"/>
      <c r="AJ692" s="60"/>
      <c r="AK692" s="60"/>
      <c r="AL692" s="60"/>
      <c r="AM692" s="60"/>
      <c r="AN692" s="60"/>
      <c r="AO692" s="60"/>
      <c r="AP692" s="60"/>
      <c r="AQ692" s="60"/>
      <c r="AR692" s="60"/>
      <c r="AS692" s="60"/>
      <c r="AT692" s="60"/>
      <c r="AU692" s="60"/>
      <c r="AV692" s="60"/>
      <c r="AW692" s="60"/>
      <c r="AX692" s="60"/>
      <c r="AY692" s="60"/>
      <c r="AZ692" s="60"/>
    </row>
    <row r="693" ht="13.5" spans="1:52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  <c r="AA693" s="60"/>
      <c r="AB693" s="60"/>
      <c r="AC693" s="60"/>
      <c r="AD693" s="60"/>
      <c r="AE693" s="60"/>
      <c r="AF693" s="60"/>
      <c r="AG693" s="60"/>
      <c r="AH693" s="60"/>
      <c r="AI693" s="60"/>
      <c r="AJ693" s="60"/>
      <c r="AK693" s="60"/>
      <c r="AL693" s="60"/>
      <c r="AM693" s="60"/>
      <c r="AN693" s="60"/>
      <c r="AO693" s="60"/>
      <c r="AP693" s="60"/>
      <c r="AQ693" s="60"/>
      <c r="AR693" s="60"/>
      <c r="AS693" s="60"/>
      <c r="AT693" s="60"/>
      <c r="AU693" s="60"/>
      <c r="AV693" s="60"/>
      <c r="AW693" s="60"/>
      <c r="AX693" s="60"/>
      <c r="AY693" s="60"/>
      <c r="AZ693" s="60"/>
    </row>
    <row r="694" ht="13.5" spans="1:52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  <c r="AA694" s="60"/>
      <c r="AB694" s="60"/>
      <c r="AC694" s="60"/>
      <c r="AD694" s="60"/>
      <c r="AE694" s="60"/>
      <c r="AF694" s="60"/>
      <c r="AG694" s="60"/>
      <c r="AH694" s="60"/>
      <c r="AI694" s="60"/>
      <c r="AJ694" s="60"/>
      <c r="AK694" s="60"/>
      <c r="AL694" s="60"/>
      <c r="AM694" s="60"/>
      <c r="AN694" s="60"/>
      <c r="AO694" s="60"/>
      <c r="AP694" s="60"/>
      <c r="AQ694" s="60"/>
      <c r="AR694" s="60"/>
      <c r="AS694" s="60"/>
      <c r="AT694" s="60"/>
      <c r="AU694" s="60"/>
      <c r="AV694" s="60"/>
      <c r="AW694" s="60"/>
      <c r="AX694" s="60"/>
      <c r="AY694" s="60"/>
      <c r="AZ694" s="60"/>
    </row>
    <row r="695" ht="13.5" spans="1:52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  <c r="AA695" s="60"/>
      <c r="AB695" s="60"/>
      <c r="AC695" s="60"/>
      <c r="AD695" s="60"/>
      <c r="AE695" s="60"/>
      <c r="AF695" s="60"/>
      <c r="AG695" s="60"/>
      <c r="AH695" s="60"/>
      <c r="AI695" s="60"/>
      <c r="AJ695" s="60"/>
      <c r="AK695" s="60"/>
      <c r="AL695" s="60"/>
      <c r="AM695" s="60"/>
      <c r="AN695" s="60"/>
      <c r="AO695" s="60"/>
      <c r="AP695" s="60"/>
      <c r="AQ695" s="60"/>
      <c r="AR695" s="60"/>
      <c r="AS695" s="60"/>
      <c r="AT695" s="60"/>
      <c r="AU695" s="60"/>
      <c r="AV695" s="60"/>
      <c r="AW695" s="60"/>
      <c r="AX695" s="60"/>
      <c r="AY695" s="60"/>
      <c r="AZ695" s="60"/>
    </row>
    <row r="696" ht="13.5" spans="1:52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  <c r="AA696" s="60"/>
      <c r="AB696" s="60"/>
      <c r="AC696" s="60"/>
      <c r="AD696" s="60"/>
      <c r="AE696" s="60"/>
      <c r="AF696" s="60"/>
      <c r="AG696" s="60"/>
      <c r="AH696" s="60"/>
      <c r="AI696" s="60"/>
      <c r="AJ696" s="60"/>
      <c r="AK696" s="60"/>
      <c r="AL696" s="60"/>
      <c r="AM696" s="60"/>
      <c r="AN696" s="60"/>
      <c r="AO696" s="60"/>
      <c r="AP696" s="60"/>
      <c r="AQ696" s="60"/>
      <c r="AR696" s="60"/>
      <c r="AS696" s="60"/>
      <c r="AT696" s="60"/>
      <c r="AU696" s="60"/>
      <c r="AV696" s="60"/>
      <c r="AW696" s="60"/>
      <c r="AX696" s="60"/>
      <c r="AY696" s="60"/>
      <c r="AZ696" s="60"/>
    </row>
    <row r="697" ht="13.5" spans="1:52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  <c r="AA697" s="60"/>
      <c r="AB697" s="60"/>
      <c r="AC697" s="60"/>
      <c r="AD697" s="60"/>
      <c r="AE697" s="60"/>
      <c r="AF697" s="60"/>
      <c r="AG697" s="60"/>
      <c r="AH697" s="60"/>
      <c r="AI697" s="60"/>
      <c r="AJ697" s="60"/>
      <c r="AK697" s="60"/>
      <c r="AL697" s="60"/>
      <c r="AM697" s="60"/>
      <c r="AN697" s="60"/>
      <c r="AO697" s="60"/>
      <c r="AP697" s="60"/>
      <c r="AQ697" s="60"/>
      <c r="AR697" s="60"/>
      <c r="AS697" s="60"/>
      <c r="AT697" s="60"/>
      <c r="AU697" s="60"/>
      <c r="AV697" s="60"/>
      <c r="AW697" s="60"/>
      <c r="AX697" s="60"/>
      <c r="AY697" s="60"/>
      <c r="AZ697" s="60"/>
    </row>
    <row r="698" ht="13.5" spans="1:52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  <c r="AA698" s="60"/>
      <c r="AB698" s="60"/>
      <c r="AC698" s="60"/>
      <c r="AD698" s="60"/>
      <c r="AE698" s="60"/>
      <c r="AF698" s="60"/>
      <c r="AG698" s="60"/>
      <c r="AH698" s="60"/>
      <c r="AI698" s="60"/>
      <c r="AJ698" s="60"/>
      <c r="AK698" s="60"/>
      <c r="AL698" s="60"/>
      <c r="AM698" s="60"/>
      <c r="AN698" s="60"/>
      <c r="AO698" s="60"/>
      <c r="AP698" s="60"/>
      <c r="AQ698" s="60"/>
      <c r="AR698" s="60"/>
      <c r="AS698" s="60"/>
      <c r="AT698" s="60"/>
      <c r="AU698" s="60"/>
      <c r="AV698" s="60"/>
      <c r="AW698" s="60"/>
      <c r="AX698" s="60"/>
      <c r="AY698" s="60"/>
      <c r="AZ698" s="60"/>
    </row>
    <row r="699" ht="13.5" spans="1:52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  <c r="AA699" s="60"/>
      <c r="AB699" s="60"/>
      <c r="AC699" s="60"/>
      <c r="AD699" s="60"/>
      <c r="AE699" s="60"/>
      <c r="AF699" s="60"/>
      <c r="AG699" s="60"/>
      <c r="AH699" s="60"/>
      <c r="AI699" s="60"/>
      <c r="AJ699" s="60"/>
      <c r="AK699" s="60"/>
      <c r="AL699" s="60"/>
      <c r="AM699" s="60"/>
      <c r="AN699" s="60"/>
      <c r="AO699" s="60"/>
      <c r="AP699" s="60"/>
      <c r="AQ699" s="60"/>
      <c r="AR699" s="60"/>
      <c r="AS699" s="60"/>
      <c r="AT699" s="60"/>
      <c r="AU699" s="60"/>
      <c r="AV699" s="60"/>
      <c r="AW699" s="60"/>
      <c r="AX699" s="60"/>
      <c r="AY699" s="60"/>
      <c r="AZ699" s="60"/>
    </row>
    <row r="700" ht="13.5" spans="1:52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  <c r="AA700" s="60"/>
      <c r="AB700" s="60"/>
      <c r="AC700" s="60"/>
      <c r="AD700" s="60"/>
      <c r="AE700" s="60"/>
      <c r="AF700" s="60"/>
      <c r="AG700" s="60"/>
      <c r="AH700" s="60"/>
      <c r="AI700" s="60"/>
      <c r="AJ700" s="60"/>
      <c r="AK700" s="60"/>
      <c r="AL700" s="60"/>
      <c r="AM700" s="60"/>
      <c r="AN700" s="60"/>
      <c r="AO700" s="60"/>
      <c r="AP700" s="60"/>
      <c r="AQ700" s="60"/>
      <c r="AR700" s="60"/>
      <c r="AS700" s="60"/>
      <c r="AT700" s="60"/>
      <c r="AU700" s="60"/>
      <c r="AV700" s="60"/>
      <c r="AW700" s="60"/>
      <c r="AX700" s="60"/>
      <c r="AY700" s="60"/>
      <c r="AZ700" s="60"/>
    </row>
    <row r="701" ht="13.5" spans="1:52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  <c r="AA701" s="60"/>
      <c r="AB701" s="60"/>
      <c r="AC701" s="60"/>
      <c r="AD701" s="60"/>
      <c r="AE701" s="60"/>
      <c r="AF701" s="60"/>
      <c r="AG701" s="60"/>
      <c r="AH701" s="60"/>
      <c r="AI701" s="60"/>
      <c r="AJ701" s="60"/>
      <c r="AK701" s="60"/>
      <c r="AL701" s="60"/>
      <c r="AM701" s="60"/>
      <c r="AN701" s="60"/>
      <c r="AO701" s="60"/>
      <c r="AP701" s="60"/>
      <c r="AQ701" s="60"/>
      <c r="AR701" s="60"/>
      <c r="AS701" s="60"/>
      <c r="AT701" s="60"/>
      <c r="AU701" s="60"/>
      <c r="AV701" s="60"/>
      <c r="AW701" s="60"/>
      <c r="AX701" s="60"/>
      <c r="AY701" s="60"/>
      <c r="AZ701" s="60"/>
    </row>
    <row r="702" ht="13.5" spans="1:52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  <c r="AA702" s="60"/>
      <c r="AB702" s="60"/>
      <c r="AC702" s="60"/>
      <c r="AD702" s="60"/>
      <c r="AE702" s="60"/>
      <c r="AF702" s="60"/>
      <c r="AG702" s="60"/>
      <c r="AH702" s="60"/>
      <c r="AI702" s="60"/>
      <c r="AJ702" s="60"/>
      <c r="AK702" s="60"/>
      <c r="AL702" s="60"/>
      <c r="AM702" s="60"/>
      <c r="AN702" s="60"/>
      <c r="AO702" s="60"/>
      <c r="AP702" s="60"/>
      <c r="AQ702" s="60"/>
      <c r="AR702" s="60"/>
      <c r="AS702" s="60"/>
      <c r="AT702" s="60"/>
      <c r="AU702" s="60"/>
      <c r="AV702" s="60"/>
      <c r="AW702" s="60"/>
      <c r="AX702" s="60"/>
      <c r="AY702" s="60"/>
      <c r="AZ702" s="60"/>
    </row>
    <row r="703" ht="13.5" spans="1:52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60"/>
      <c r="AB703" s="60"/>
      <c r="AC703" s="60"/>
      <c r="AD703" s="60"/>
      <c r="AE703" s="60"/>
      <c r="AF703" s="60"/>
      <c r="AG703" s="60"/>
      <c r="AH703" s="60"/>
      <c r="AI703" s="60"/>
      <c r="AJ703" s="60"/>
      <c r="AK703" s="60"/>
      <c r="AL703" s="60"/>
      <c r="AM703" s="60"/>
      <c r="AN703" s="60"/>
      <c r="AO703" s="60"/>
      <c r="AP703" s="60"/>
      <c r="AQ703" s="60"/>
      <c r="AR703" s="60"/>
      <c r="AS703" s="60"/>
      <c r="AT703" s="60"/>
      <c r="AU703" s="60"/>
      <c r="AV703" s="60"/>
      <c r="AW703" s="60"/>
      <c r="AX703" s="60"/>
      <c r="AY703" s="60"/>
      <c r="AZ703" s="60"/>
    </row>
    <row r="704" ht="13.5" spans="1:52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  <c r="AA704" s="60"/>
      <c r="AB704" s="60"/>
      <c r="AC704" s="60"/>
      <c r="AD704" s="60"/>
      <c r="AE704" s="60"/>
      <c r="AF704" s="60"/>
      <c r="AG704" s="60"/>
      <c r="AH704" s="60"/>
      <c r="AI704" s="60"/>
      <c r="AJ704" s="60"/>
      <c r="AK704" s="60"/>
      <c r="AL704" s="60"/>
      <c r="AM704" s="60"/>
      <c r="AN704" s="60"/>
      <c r="AO704" s="60"/>
      <c r="AP704" s="60"/>
      <c r="AQ704" s="60"/>
      <c r="AR704" s="60"/>
      <c r="AS704" s="60"/>
      <c r="AT704" s="60"/>
      <c r="AU704" s="60"/>
      <c r="AV704" s="60"/>
      <c r="AW704" s="60"/>
      <c r="AX704" s="60"/>
      <c r="AY704" s="60"/>
      <c r="AZ704" s="60"/>
    </row>
    <row r="705" ht="13.5" spans="1:52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  <c r="AA705" s="60"/>
      <c r="AB705" s="60"/>
      <c r="AC705" s="60"/>
      <c r="AD705" s="60"/>
      <c r="AE705" s="60"/>
      <c r="AF705" s="60"/>
      <c r="AG705" s="60"/>
      <c r="AH705" s="60"/>
      <c r="AI705" s="60"/>
      <c r="AJ705" s="60"/>
      <c r="AK705" s="60"/>
      <c r="AL705" s="60"/>
      <c r="AM705" s="60"/>
      <c r="AN705" s="60"/>
      <c r="AO705" s="60"/>
      <c r="AP705" s="60"/>
      <c r="AQ705" s="60"/>
      <c r="AR705" s="60"/>
      <c r="AS705" s="60"/>
      <c r="AT705" s="60"/>
      <c r="AU705" s="60"/>
      <c r="AV705" s="60"/>
      <c r="AW705" s="60"/>
      <c r="AX705" s="60"/>
      <c r="AY705" s="60"/>
      <c r="AZ705" s="60"/>
    </row>
    <row r="706" ht="13.5" spans="1:52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  <c r="AA706" s="60"/>
      <c r="AB706" s="60"/>
      <c r="AC706" s="60"/>
      <c r="AD706" s="60"/>
      <c r="AE706" s="60"/>
      <c r="AF706" s="60"/>
      <c r="AG706" s="60"/>
      <c r="AH706" s="60"/>
      <c r="AI706" s="60"/>
      <c r="AJ706" s="60"/>
      <c r="AK706" s="60"/>
      <c r="AL706" s="60"/>
      <c r="AM706" s="60"/>
      <c r="AN706" s="60"/>
      <c r="AO706" s="60"/>
      <c r="AP706" s="60"/>
      <c r="AQ706" s="60"/>
      <c r="AR706" s="60"/>
      <c r="AS706" s="60"/>
      <c r="AT706" s="60"/>
      <c r="AU706" s="60"/>
      <c r="AV706" s="60"/>
      <c r="AW706" s="60"/>
      <c r="AX706" s="60"/>
      <c r="AY706" s="60"/>
      <c r="AZ706" s="60"/>
    </row>
    <row r="707" ht="13.5" spans="1:52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  <c r="AA707" s="60"/>
      <c r="AB707" s="60"/>
      <c r="AC707" s="60"/>
      <c r="AD707" s="60"/>
      <c r="AE707" s="60"/>
      <c r="AF707" s="60"/>
      <c r="AG707" s="60"/>
      <c r="AH707" s="60"/>
      <c r="AI707" s="60"/>
      <c r="AJ707" s="60"/>
      <c r="AK707" s="60"/>
      <c r="AL707" s="60"/>
      <c r="AM707" s="60"/>
      <c r="AN707" s="60"/>
      <c r="AO707" s="60"/>
      <c r="AP707" s="60"/>
      <c r="AQ707" s="60"/>
      <c r="AR707" s="60"/>
      <c r="AS707" s="60"/>
      <c r="AT707" s="60"/>
      <c r="AU707" s="60"/>
      <c r="AV707" s="60"/>
      <c r="AW707" s="60"/>
      <c r="AX707" s="60"/>
      <c r="AY707" s="60"/>
      <c r="AZ707" s="60"/>
    </row>
    <row r="708" ht="13.5" spans="1:52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  <c r="AA708" s="60"/>
      <c r="AB708" s="60"/>
      <c r="AC708" s="60"/>
      <c r="AD708" s="60"/>
      <c r="AE708" s="60"/>
      <c r="AF708" s="60"/>
      <c r="AG708" s="60"/>
      <c r="AH708" s="60"/>
      <c r="AI708" s="60"/>
      <c r="AJ708" s="60"/>
      <c r="AK708" s="60"/>
      <c r="AL708" s="60"/>
      <c r="AM708" s="60"/>
      <c r="AN708" s="60"/>
      <c r="AO708" s="60"/>
      <c r="AP708" s="60"/>
      <c r="AQ708" s="60"/>
      <c r="AR708" s="60"/>
      <c r="AS708" s="60"/>
      <c r="AT708" s="60"/>
      <c r="AU708" s="60"/>
      <c r="AV708" s="60"/>
      <c r="AW708" s="60"/>
      <c r="AX708" s="60"/>
      <c r="AY708" s="60"/>
      <c r="AZ708" s="60"/>
    </row>
    <row r="709" ht="13.5" spans="1:52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60"/>
      <c r="AB709" s="60"/>
      <c r="AC709" s="60"/>
      <c r="AD709" s="60"/>
      <c r="AE709" s="60"/>
      <c r="AF709" s="60"/>
      <c r="AG709" s="60"/>
      <c r="AH709" s="60"/>
      <c r="AI709" s="60"/>
      <c r="AJ709" s="60"/>
      <c r="AK709" s="60"/>
      <c r="AL709" s="60"/>
      <c r="AM709" s="60"/>
      <c r="AN709" s="60"/>
      <c r="AO709" s="60"/>
      <c r="AP709" s="60"/>
      <c r="AQ709" s="60"/>
      <c r="AR709" s="60"/>
      <c r="AS709" s="60"/>
      <c r="AT709" s="60"/>
      <c r="AU709" s="60"/>
      <c r="AV709" s="60"/>
      <c r="AW709" s="60"/>
      <c r="AX709" s="60"/>
      <c r="AY709" s="60"/>
      <c r="AZ709" s="60"/>
    </row>
    <row r="710" ht="13.5" spans="1:52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  <c r="AA710" s="60"/>
      <c r="AB710" s="60"/>
      <c r="AC710" s="60"/>
      <c r="AD710" s="60"/>
      <c r="AE710" s="60"/>
      <c r="AF710" s="60"/>
      <c r="AG710" s="60"/>
      <c r="AH710" s="60"/>
      <c r="AI710" s="60"/>
      <c r="AJ710" s="60"/>
      <c r="AK710" s="60"/>
      <c r="AL710" s="60"/>
      <c r="AM710" s="60"/>
      <c r="AN710" s="60"/>
      <c r="AO710" s="60"/>
      <c r="AP710" s="60"/>
      <c r="AQ710" s="60"/>
      <c r="AR710" s="60"/>
      <c r="AS710" s="60"/>
      <c r="AT710" s="60"/>
      <c r="AU710" s="60"/>
      <c r="AV710" s="60"/>
      <c r="AW710" s="60"/>
      <c r="AX710" s="60"/>
      <c r="AY710" s="60"/>
      <c r="AZ710" s="60"/>
    </row>
    <row r="711" ht="13.5" spans="1:52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  <c r="AA711" s="60"/>
      <c r="AB711" s="60"/>
      <c r="AC711" s="60"/>
      <c r="AD711" s="60"/>
      <c r="AE711" s="60"/>
      <c r="AF711" s="60"/>
      <c r="AG711" s="60"/>
      <c r="AH711" s="60"/>
      <c r="AI711" s="60"/>
      <c r="AJ711" s="60"/>
      <c r="AK711" s="60"/>
      <c r="AL711" s="60"/>
      <c r="AM711" s="60"/>
      <c r="AN711" s="60"/>
      <c r="AO711" s="60"/>
      <c r="AP711" s="60"/>
      <c r="AQ711" s="60"/>
      <c r="AR711" s="60"/>
      <c r="AS711" s="60"/>
      <c r="AT711" s="60"/>
      <c r="AU711" s="60"/>
      <c r="AV711" s="60"/>
      <c r="AW711" s="60"/>
      <c r="AX711" s="60"/>
      <c r="AY711" s="60"/>
      <c r="AZ711" s="60"/>
    </row>
    <row r="712" ht="13.5" spans="1:52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60"/>
      <c r="AB712" s="60"/>
      <c r="AC712" s="60"/>
      <c r="AD712" s="60"/>
      <c r="AE712" s="60"/>
      <c r="AF712" s="60"/>
      <c r="AG712" s="60"/>
      <c r="AH712" s="60"/>
      <c r="AI712" s="60"/>
      <c r="AJ712" s="60"/>
      <c r="AK712" s="60"/>
      <c r="AL712" s="60"/>
      <c r="AM712" s="60"/>
      <c r="AN712" s="60"/>
      <c r="AO712" s="60"/>
      <c r="AP712" s="60"/>
      <c r="AQ712" s="60"/>
      <c r="AR712" s="60"/>
      <c r="AS712" s="60"/>
      <c r="AT712" s="60"/>
      <c r="AU712" s="60"/>
      <c r="AV712" s="60"/>
      <c r="AW712" s="60"/>
      <c r="AX712" s="60"/>
      <c r="AY712" s="60"/>
      <c r="AZ712" s="60"/>
    </row>
    <row r="713" ht="13.5" spans="1:52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0"/>
      <c r="AB713" s="60"/>
      <c r="AC713" s="60"/>
      <c r="AD713" s="60"/>
      <c r="AE713" s="60"/>
      <c r="AF713" s="60"/>
      <c r="AG713" s="60"/>
      <c r="AH713" s="60"/>
      <c r="AI713" s="60"/>
      <c r="AJ713" s="60"/>
      <c r="AK713" s="60"/>
      <c r="AL713" s="60"/>
      <c r="AM713" s="60"/>
      <c r="AN713" s="60"/>
      <c r="AO713" s="60"/>
      <c r="AP713" s="60"/>
      <c r="AQ713" s="60"/>
      <c r="AR713" s="60"/>
      <c r="AS713" s="60"/>
      <c r="AT713" s="60"/>
      <c r="AU713" s="60"/>
      <c r="AV713" s="60"/>
      <c r="AW713" s="60"/>
      <c r="AX713" s="60"/>
      <c r="AY713" s="60"/>
      <c r="AZ713" s="60"/>
    </row>
    <row r="714" ht="13.5" spans="1:52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0"/>
      <c r="AB714" s="60"/>
      <c r="AC714" s="60"/>
      <c r="AD714" s="60"/>
      <c r="AE714" s="60"/>
      <c r="AF714" s="60"/>
      <c r="AG714" s="60"/>
      <c r="AH714" s="60"/>
      <c r="AI714" s="60"/>
      <c r="AJ714" s="60"/>
      <c r="AK714" s="60"/>
      <c r="AL714" s="60"/>
      <c r="AM714" s="60"/>
      <c r="AN714" s="60"/>
      <c r="AO714" s="60"/>
      <c r="AP714" s="60"/>
      <c r="AQ714" s="60"/>
      <c r="AR714" s="60"/>
      <c r="AS714" s="60"/>
      <c r="AT714" s="60"/>
      <c r="AU714" s="60"/>
      <c r="AV714" s="60"/>
      <c r="AW714" s="60"/>
      <c r="AX714" s="60"/>
      <c r="AY714" s="60"/>
      <c r="AZ714" s="60"/>
    </row>
    <row r="715" ht="13.5" spans="1:52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60"/>
      <c r="AB715" s="60"/>
      <c r="AC715" s="60"/>
      <c r="AD715" s="60"/>
      <c r="AE715" s="60"/>
      <c r="AF715" s="60"/>
      <c r="AG715" s="60"/>
      <c r="AH715" s="60"/>
      <c r="AI715" s="60"/>
      <c r="AJ715" s="60"/>
      <c r="AK715" s="60"/>
      <c r="AL715" s="60"/>
      <c r="AM715" s="60"/>
      <c r="AN715" s="60"/>
      <c r="AO715" s="60"/>
      <c r="AP715" s="60"/>
      <c r="AQ715" s="60"/>
      <c r="AR715" s="60"/>
      <c r="AS715" s="60"/>
      <c r="AT715" s="60"/>
      <c r="AU715" s="60"/>
      <c r="AV715" s="60"/>
      <c r="AW715" s="60"/>
      <c r="AX715" s="60"/>
      <c r="AY715" s="60"/>
      <c r="AZ715" s="60"/>
    </row>
    <row r="716" ht="13.5" spans="1:52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  <c r="AA716" s="60"/>
      <c r="AB716" s="60"/>
      <c r="AC716" s="60"/>
      <c r="AD716" s="60"/>
      <c r="AE716" s="60"/>
      <c r="AF716" s="60"/>
      <c r="AG716" s="60"/>
      <c r="AH716" s="60"/>
      <c r="AI716" s="60"/>
      <c r="AJ716" s="60"/>
      <c r="AK716" s="60"/>
      <c r="AL716" s="60"/>
      <c r="AM716" s="60"/>
      <c r="AN716" s="60"/>
      <c r="AO716" s="60"/>
      <c r="AP716" s="60"/>
      <c r="AQ716" s="60"/>
      <c r="AR716" s="60"/>
      <c r="AS716" s="60"/>
      <c r="AT716" s="60"/>
      <c r="AU716" s="60"/>
      <c r="AV716" s="60"/>
      <c r="AW716" s="60"/>
      <c r="AX716" s="60"/>
      <c r="AY716" s="60"/>
      <c r="AZ716" s="60"/>
    </row>
    <row r="717" ht="13.5" spans="1:52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  <c r="AA717" s="60"/>
      <c r="AB717" s="60"/>
      <c r="AC717" s="60"/>
      <c r="AD717" s="60"/>
      <c r="AE717" s="60"/>
      <c r="AF717" s="60"/>
      <c r="AG717" s="60"/>
      <c r="AH717" s="60"/>
      <c r="AI717" s="60"/>
      <c r="AJ717" s="60"/>
      <c r="AK717" s="60"/>
      <c r="AL717" s="60"/>
      <c r="AM717" s="60"/>
      <c r="AN717" s="60"/>
      <c r="AO717" s="60"/>
      <c r="AP717" s="60"/>
      <c r="AQ717" s="60"/>
      <c r="AR717" s="60"/>
      <c r="AS717" s="60"/>
      <c r="AT717" s="60"/>
      <c r="AU717" s="60"/>
      <c r="AV717" s="60"/>
      <c r="AW717" s="60"/>
      <c r="AX717" s="60"/>
      <c r="AY717" s="60"/>
      <c r="AZ717" s="60"/>
    </row>
    <row r="718" ht="13.5" spans="1:52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  <c r="AA718" s="60"/>
      <c r="AB718" s="60"/>
      <c r="AC718" s="60"/>
      <c r="AD718" s="60"/>
      <c r="AE718" s="60"/>
      <c r="AF718" s="60"/>
      <c r="AG718" s="60"/>
      <c r="AH718" s="60"/>
      <c r="AI718" s="60"/>
      <c r="AJ718" s="60"/>
      <c r="AK718" s="60"/>
      <c r="AL718" s="60"/>
      <c r="AM718" s="60"/>
      <c r="AN718" s="60"/>
      <c r="AO718" s="60"/>
      <c r="AP718" s="60"/>
      <c r="AQ718" s="60"/>
      <c r="AR718" s="60"/>
      <c r="AS718" s="60"/>
      <c r="AT718" s="60"/>
      <c r="AU718" s="60"/>
      <c r="AV718" s="60"/>
      <c r="AW718" s="60"/>
      <c r="AX718" s="60"/>
      <c r="AY718" s="60"/>
      <c r="AZ718" s="60"/>
    </row>
    <row r="719" ht="13.5" spans="1:52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  <c r="AA719" s="60"/>
      <c r="AB719" s="60"/>
      <c r="AC719" s="60"/>
      <c r="AD719" s="60"/>
      <c r="AE719" s="60"/>
      <c r="AF719" s="60"/>
      <c r="AG719" s="60"/>
      <c r="AH719" s="60"/>
      <c r="AI719" s="60"/>
      <c r="AJ719" s="60"/>
      <c r="AK719" s="60"/>
      <c r="AL719" s="60"/>
      <c r="AM719" s="60"/>
      <c r="AN719" s="60"/>
      <c r="AO719" s="60"/>
      <c r="AP719" s="60"/>
      <c r="AQ719" s="60"/>
      <c r="AR719" s="60"/>
      <c r="AS719" s="60"/>
      <c r="AT719" s="60"/>
      <c r="AU719" s="60"/>
      <c r="AV719" s="60"/>
      <c r="AW719" s="60"/>
      <c r="AX719" s="60"/>
      <c r="AY719" s="60"/>
      <c r="AZ719" s="60"/>
    </row>
    <row r="720" ht="13.5" spans="1:52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  <c r="AA720" s="60"/>
      <c r="AB720" s="60"/>
      <c r="AC720" s="60"/>
      <c r="AD720" s="60"/>
      <c r="AE720" s="60"/>
      <c r="AF720" s="60"/>
      <c r="AG720" s="60"/>
      <c r="AH720" s="60"/>
      <c r="AI720" s="60"/>
      <c r="AJ720" s="60"/>
      <c r="AK720" s="60"/>
      <c r="AL720" s="60"/>
      <c r="AM720" s="60"/>
      <c r="AN720" s="60"/>
      <c r="AO720" s="60"/>
      <c r="AP720" s="60"/>
      <c r="AQ720" s="60"/>
      <c r="AR720" s="60"/>
      <c r="AS720" s="60"/>
      <c r="AT720" s="60"/>
      <c r="AU720" s="60"/>
      <c r="AV720" s="60"/>
      <c r="AW720" s="60"/>
      <c r="AX720" s="60"/>
      <c r="AY720" s="60"/>
      <c r="AZ720" s="60"/>
    </row>
    <row r="721" ht="13.5" spans="1:52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  <c r="AA721" s="60"/>
      <c r="AB721" s="60"/>
      <c r="AC721" s="60"/>
      <c r="AD721" s="60"/>
      <c r="AE721" s="60"/>
      <c r="AF721" s="60"/>
      <c r="AG721" s="60"/>
      <c r="AH721" s="60"/>
      <c r="AI721" s="60"/>
      <c r="AJ721" s="60"/>
      <c r="AK721" s="60"/>
      <c r="AL721" s="60"/>
      <c r="AM721" s="60"/>
      <c r="AN721" s="60"/>
      <c r="AO721" s="60"/>
      <c r="AP721" s="60"/>
      <c r="AQ721" s="60"/>
      <c r="AR721" s="60"/>
      <c r="AS721" s="60"/>
      <c r="AT721" s="60"/>
      <c r="AU721" s="60"/>
      <c r="AV721" s="60"/>
      <c r="AW721" s="60"/>
      <c r="AX721" s="60"/>
      <c r="AY721" s="60"/>
      <c r="AZ721" s="60"/>
    </row>
    <row r="722" ht="13.5" spans="1:52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  <c r="AA722" s="60"/>
      <c r="AB722" s="60"/>
      <c r="AC722" s="60"/>
      <c r="AD722" s="60"/>
      <c r="AE722" s="60"/>
      <c r="AF722" s="60"/>
      <c r="AG722" s="60"/>
      <c r="AH722" s="60"/>
      <c r="AI722" s="60"/>
      <c r="AJ722" s="60"/>
      <c r="AK722" s="60"/>
      <c r="AL722" s="60"/>
      <c r="AM722" s="60"/>
      <c r="AN722" s="60"/>
      <c r="AO722" s="60"/>
      <c r="AP722" s="60"/>
      <c r="AQ722" s="60"/>
      <c r="AR722" s="60"/>
      <c r="AS722" s="60"/>
      <c r="AT722" s="60"/>
      <c r="AU722" s="60"/>
      <c r="AV722" s="60"/>
      <c r="AW722" s="60"/>
      <c r="AX722" s="60"/>
      <c r="AY722" s="60"/>
      <c r="AZ722" s="60"/>
    </row>
    <row r="723" ht="13.5" spans="1:52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  <c r="AA723" s="60"/>
      <c r="AB723" s="60"/>
      <c r="AC723" s="60"/>
      <c r="AD723" s="60"/>
      <c r="AE723" s="60"/>
      <c r="AF723" s="60"/>
      <c r="AG723" s="60"/>
      <c r="AH723" s="60"/>
      <c r="AI723" s="60"/>
      <c r="AJ723" s="60"/>
      <c r="AK723" s="60"/>
      <c r="AL723" s="60"/>
      <c r="AM723" s="60"/>
      <c r="AN723" s="60"/>
      <c r="AO723" s="60"/>
      <c r="AP723" s="60"/>
      <c r="AQ723" s="60"/>
      <c r="AR723" s="60"/>
      <c r="AS723" s="60"/>
      <c r="AT723" s="60"/>
      <c r="AU723" s="60"/>
      <c r="AV723" s="60"/>
      <c r="AW723" s="60"/>
      <c r="AX723" s="60"/>
      <c r="AY723" s="60"/>
      <c r="AZ723" s="60"/>
    </row>
    <row r="724" ht="13.5" spans="1:52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  <c r="AA724" s="60"/>
      <c r="AB724" s="60"/>
      <c r="AC724" s="60"/>
      <c r="AD724" s="60"/>
      <c r="AE724" s="60"/>
      <c r="AF724" s="60"/>
      <c r="AG724" s="60"/>
      <c r="AH724" s="60"/>
      <c r="AI724" s="60"/>
      <c r="AJ724" s="60"/>
      <c r="AK724" s="60"/>
      <c r="AL724" s="60"/>
      <c r="AM724" s="60"/>
      <c r="AN724" s="60"/>
      <c r="AO724" s="60"/>
      <c r="AP724" s="60"/>
      <c r="AQ724" s="60"/>
      <c r="AR724" s="60"/>
      <c r="AS724" s="60"/>
      <c r="AT724" s="60"/>
      <c r="AU724" s="60"/>
      <c r="AV724" s="60"/>
      <c r="AW724" s="60"/>
      <c r="AX724" s="60"/>
      <c r="AY724" s="60"/>
      <c r="AZ724" s="60"/>
    </row>
    <row r="725" ht="13.5" spans="1:52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  <c r="AA725" s="60"/>
      <c r="AB725" s="60"/>
      <c r="AC725" s="60"/>
      <c r="AD725" s="60"/>
      <c r="AE725" s="60"/>
      <c r="AF725" s="60"/>
      <c r="AG725" s="60"/>
      <c r="AH725" s="60"/>
      <c r="AI725" s="60"/>
      <c r="AJ725" s="60"/>
      <c r="AK725" s="60"/>
      <c r="AL725" s="60"/>
      <c r="AM725" s="60"/>
      <c r="AN725" s="60"/>
      <c r="AO725" s="60"/>
      <c r="AP725" s="60"/>
      <c r="AQ725" s="60"/>
      <c r="AR725" s="60"/>
      <c r="AS725" s="60"/>
      <c r="AT725" s="60"/>
      <c r="AU725" s="60"/>
      <c r="AV725" s="60"/>
      <c r="AW725" s="60"/>
      <c r="AX725" s="60"/>
      <c r="AY725" s="60"/>
      <c r="AZ725" s="60"/>
    </row>
    <row r="726" ht="13.5" spans="1:52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  <c r="AA726" s="60"/>
      <c r="AB726" s="60"/>
      <c r="AC726" s="60"/>
      <c r="AD726" s="60"/>
      <c r="AE726" s="60"/>
      <c r="AF726" s="60"/>
      <c r="AG726" s="60"/>
      <c r="AH726" s="60"/>
      <c r="AI726" s="60"/>
      <c r="AJ726" s="60"/>
      <c r="AK726" s="60"/>
      <c r="AL726" s="60"/>
      <c r="AM726" s="60"/>
      <c r="AN726" s="60"/>
      <c r="AO726" s="60"/>
      <c r="AP726" s="60"/>
      <c r="AQ726" s="60"/>
      <c r="AR726" s="60"/>
      <c r="AS726" s="60"/>
      <c r="AT726" s="60"/>
      <c r="AU726" s="60"/>
      <c r="AV726" s="60"/>
      <c r="AW726" s="60"/>
      <c r="AX726" s="60"/>
      <c r="AY726" s="60"/>
      <c r="AZ726" s="60"/>
    </row>
    <row r="727" ht="13.5" spans="1:52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  <c r="AA727" s="60"/>
      <c r="AB727" s="60"/>
      <c r="AC727" s="60"/>
      <c r="AD727" s="60"/>
      <c r="AE727" s="60"/>
      <c r="AF727" s="60"/>
      <c r="AG727" s="60"/>
      <c r="AH727" s="60"/>
      <c r="AI727" s="60"/>
      <c r="AJ727" s="60"/>
      <c r="AK727" s="60"/>
      <c r="AL727" s="60"/>
      <c r="AM727" s="60"/>
      <c r="AN727" s="60"/>
      <c r="AO727" s="60"/>
      <c r="AP727" s="60"/>
      <c r="AQ727" s="60"/>
      <c r="AR727" s="60"/>
      <c r="AS727" s="60"/>
      <c r="AT727" s="60"/>
      <c r="AU727" s="60"/>
      <c r="AV727" s="60"/>
      <c r="AW727" s="60"/>
      <c r="AX727" s="60"/>
      <c r="AY727" s="60"/>
      <c r="AZ727" s="60"/>
    </row>
    <row r="728" ht="13.5" spans="1:52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  <c r="AA728" s="60"/>
      <c r="AB728" s="60"/>
      <c r="AC728" s="60"/>
      <c r="AD728" s="60"/>
      <c r="AE728" s="60"/>
      <c r="AF728" s="60"/>
      <c r="AG728" s="60"/>
      <c r="AH728" s="60"/>
      <c r="AI728" s="60"/>
      <c r="AJ728" s="60"/>
      <c r="AK728" s="60"/>
      <c r="AL728" s="60"/>
      <c r="AM728" s="60"/>
      <c r="AN728" s="60"/>
      <c r="AO728" s="60"/>
      <c r="AP728" s="60"/>
      <c r="AQ728" s="60"/>
      <c r="AR728" s="60"/>
      <c r="AS728" s="60"/>
      <c r="AT728" s="60"/>
      <c r="AU728" s="60"/>
      <c r="AV728" s="60"/>
      <c r="AW728" s="60"/>
      <c r="AX728" s="60"/>
      <c r="AY728" s="60"/>
      <c r="AZ728" s="60"/>
    </row>
    <row r="729" ht="13.5" spans="1:52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  <c r="AA729" s="60"/>
      <c r="AB729" s="60"/>
      <c r="AC729" s="60"/>
      <c r="AD729" s="60"/>
      <c r="AE729" s="60"/>
      <c r="AF729" s="60"/>
      <c r="AG729" s="60"/>
      <c r="AH729" s="60"/>
      <c r="AI729" s="60"/>
      <c r="AJ729" s="60"/>
      <c r="AK729" s="60"/>
      <c r="AL729" s="60"/>
      <c r="AM729" s="60"/>
      <c r="AN729" s="60"/>
      <c r="AO729" s="60"/>
      <c r="AP729" s="60"/>
      <c r="AQ729" s="60"/>
      <c r="AR729" s="60"/>
      <c r="AS729" s="60"/>
      <c r="AT729" s="60"/>
      <c r="AU729" s="60"/>
      <c r="AV729" s="60"/>
      <c r="AW729" s="60"/>
      <c r="AX729" s="60"/>
      <c r="AY729" s="60"/>
      <c r="AZ729" s="60"/>
    </row>
    <row r="730" ht="13.5" spans="1:52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  <c r="AA730" s="60"/>
      <c r="AB730" s="60"/>
      <c r="AC730" s="60"/>
      <c r="AD730" s="60"/>
      <c r="AE730" s="60"/>
      <c r="AF730" s="60"/>
      <c r="AG730" s="60"/>
      <c r="AH730" s="60"/>
      <c r="AI730" s="60"/>
      <c r="AJ730" s="60"/>
      <c r="AK730" s="60"/>
      <c r="AL730" s="60"/>
      <c r="AM730" s="60"/>
      <c r="AN730" s="60"/>
      <c r="AO730" s="60"/>
      <c r="AP730" s="60"/>
      <c r="AQ730" s="60"/>
      <c r="AR730" s="60"/>
      <c r="AS730" s="60"/>
      <c r="AT730" s="60"/>
      <c r="AU730" s="60"/>
      <c r="AV730" s="60"/>
      <c r="AW730" s="60"/>
      <c r="AX730" s="60"/>
      <c r="AY730" s="60"/>
      <c r="AZ730" s="60"/>
    </row>
    <row r="731" ht="13.5" spans="1:52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60"/>
      <c r="AB731" s="60"/>
      <c r="AC731" s="60"/>
      <c r="AD731" s="60"/>
      <c r="AE731" s="60"/>
      <c r="AF731" s="60"/>
      <c r="AG731" s="60"/>
      <c r="AH731" s="60"/>
      <c r="AI731" s="60"/>
      <c r="AJ731" s="60"/>
      <c r="AK731" s="60"/>
      <c r="AL731" s="60"/>
      <c r="AM731" s="60"/>
      <c r="AN731" s="60"/>
      <c r="AO731" s="60"/>
      <c r="AP731" s="60"/>
      <c r="AQ731" s="60"/>
      <c r="AR731" s="60"/>
      <c r="AS731" s="60"/>
      <c r="AT731" s="60"/>
      <c r="AU731" s="60"/>
      <c r="AV731" s="60"/>
      <c r="AW731" s="60"/>
      <c r="AX731" s="60"/>
      <c r="AY731" s="60"/>
      <c r="AZ731" s="60"/>
    </row>
    <row r="732" ht="13.5" spans="1:52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  <c r="AA732" s="60"/>
      <c r="AB732" s="60"/>
      <c r="AC732" s="60"/>
      <c r="AD732" s="60"/>
      <c r="AE732" s="60"/>
      <c r="AF732" s="60"/>
      <c r="AG732" s="60"/>
      <c r="AH732" s="60"/>
      <c r="AI732" s="60"/>
      <c r="AJ732" s="60"/>
      <c r="AK732" s="60"/>
      <c r="AL732" s="60"/>
      <c r="AM732" s="60"/>
      <c r="AN732" s="60"/>
      <c r="AO732" s="60"/>
      <c r="AP732" s="60"/>
      <c r="AQ732" s="60"/>
      <c r="AR732" s="60"/>
      <c r="AS732" s="60"/>
      <c r="AT732" s="60"/>
      <c r="AU732" s="60"/>
      <c r="AV732" s="60"/>
      <c r="AW732" s="60"/>
      <c r="AX732" s="60"/>
      <c r="AY732" s="60"/>
      <c r="AZ732" s="60"/>
    </row>
    <row r="733" ht="13.5" spans="1:52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  <c r="AA733" s="60"/>
      <c r="AB733" s="60"/>
      <c r="AC733" s="60"/>
      <c r="AD733" s="60"/>
      <c r="AE733" s="60"/>
      <c r="AF733" s="60"/>
      <c r="AG733" s="60"/>
      <c r="AH733" s="60"/>
      <c r="AI733" s="60"/>
      <c r="AJ733" s="60"/>
      <c r="AK733" s="60"/>
      <c r="AL733" s="60"/>
      <c r="AM733" s="60"/>
      <c r="AN733" s="60"/>
      <c r="AO733" s="60"/>
      <c r="AP733" s="60"/>
      <c r="AQ733" s="60"/>
      <c r="AR733" s="60"/>
      <c r="AS733" s="60"/>
      <c r="AT733" s="60"/>
      <c r="AU733" s="60"/>
      <c r="AV733" s="60"/>
      <c r="AW733" s="60"/>
      <c r="AX733" s="60"/>
      <c r="AY733" s="60"/>
      <c r="AZ733" s="60"/>
    </row>
    <row r="734" ht="13.5" spans="1:52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  <c r="AA734" s="60"/>
      <c r="AB734" s="60"/>
      <c r="AC734" s="60"/>
      <c r="AD734" s="60"/>
      <c r="AE734" s="60"/>
      <c r="AF734" s="60"/>
      <c r="AG734" s="60"/>
      <c r="AH734" s="60"/>
      <c r="AI734" s="60"/>
      <c r="AJ734" s="60"/>
      <c r="AK734" s="60"/>
      <c r="AL734" s="60"/>
      <c r="AM734" s="60"/>
      <c r="AN734" s="60"/>
      <c r="AO734" s="60"/>
      <c r="AP734" s="60"/>
      <c r="AQ734" s="60"/>
      <c r="AR734" s="60"/>
      <c r="AS734" s="60"/>
      <c r="AT734" s="60"/>
      <c r="AU734" s="60"/>
      <c r="AV734" s="60"/>
      <c r="AW734" s="60"/>
      <c r="AX734" s="60"/>
      <c r="AY734" s="60"/>
      <c r="AZ734" s="60"/>
    </row>
  </sheetData>
  <autoFilter ref="A1:AZ734">
    <sortState ref="A1:AZ734">
      <sortCondition ref="A1:A606"/>
    </sortState>
    <extLst/>
  </autoFilter>
  <conditionalFormatting sqref="CF68:CF84">
    <cfRule type="cellIs" dxfId="0" priority="2" operator="notEqual">
      <formula>CE68</formula>
    </cfRule>
  </conditionalFormatting>
  <conditionalFormatting sqref="CF3:CF67 CF85:CF326">
    <cfRule type="cellIs" dxfId="0" priority="3" operator="notEqual">
      <formula>CE3</formula>
    </cfRule>
  </conditionalFormatting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2"/>
  <sheetViews>
    <sheetView workbookViewId="0">
      <pane xSplit="1" ySplit="1" topLeftCell="B13" activePane="bottomRight" state="frozen"/>
      <selection/>
      <selection pane="topRight"/>
      <selection pane="bottomLeft"/>
      <selection pane="bottomRight" activeCell="E47" sqref="E47"/>
    </sheetView>
  </sheetViews>
  <sheetFormatPr defaultColWidth="9.64166666666667" defaultRowHeight="13.5"/>
  <cols>
    <col min="1" max="1" width="17.25" style="20" customWidth="1"/>
    <col min="2" max="6" width="12.625" style="20"/>
    <col min="7" max="7" width="11.375" style="20" customWidth="1"/>
    <col min="8" max="8" width="9.75" style="20" customWidth="1"/>
    <col min="9" max="9" width="12.875" style="20" customWidth="1"/>
    <col min="10" max="10" width="11.25" style="20" customWidth="1"/>
    <col min="11" max="11" width="12.875" style="20" customWidth="1"/>
    <col min="12" max="12" width="10" style="20" customWidth="1"/>
    <col min="13" max="13" width="14.25" style="20" customWidth="1"/>
    <col min="14" max="14" width="8.875" style="20" customWidth="1"/>
    <col min="15" max="15" width="11.125" style="20" customWidth="1"/>
    <col min="16" max="19" width="12.875" style="20" customWidth="1"/>
    <col min="20" max="20" width="15" style="20" customWidth="1"/>
    <col min="21" max="21" width="12.875" style="20" customWidth="1"/>
    <col min="22" max="27" width="12.625" style="20"/>
    <col min="28" max="28" width="17.125" style="20" customWidth="1"/>
    <col min="29" max="30" width="12.625" style="20"/>
    <col min="31" max="31" width="19.125" style="20" customWidth="1"/>
    <col min="32" max="32" width="13.125" style="20" customWidth="1"/>
    <col min="33" max="33" width="16.25" style="20" customWidth="1"/>
    <col min="34" max="34" width="22.25" style="20" customWidth="1"/>
    <col min="35" max="37" width="12.875" style="20" customWidth="1"/>
    <col min="38" max="38" width="17.125" style="20" customWidth="1"/>
    <col min="39" max="39" width="21.5" style="20" customWidth="1"/>
    <col min="40" max="40" width="11" style="20" customWidth="1"/>
    <col min="41" max="41" width="9" style="20" customWidth="1"/>
    <col min="42" max="16384" width="9.64166666666667" style="20"/>
  </cols>
  <sheetData>
    <row r="1" spans="2:40">
      <c r="B1" s="20" t="s">
        <v>924</v>
      </c>
      <c r="C1" s="20" t="s">
        <v>925</v>
      </c>
      <c r="D1" s="20" t="s">
        <v>25</v>
      </c>
      <c r="E1" s="20" t="s">
        <v>926</v>
      </c>
      <c r="F1" s="20" t="s">
        <v>927</v>
      </c>
      <c r="G1" s="20" t="s">
        <v>928</v>
      </c>
      <c r="H1" s="20" t="s">
        <v>929</v>
      </c>
      <c r="I1" s="20" t="s">
        <v>930</v>
      </c>
      <c r="J1" s="20" t="s">
        <v>931</v>
      </c>
      <c r="K1" s="20" t="s">
        <v>932</v>
      </c>
      <c r="L1" s="20" t="s">
        <v>933</v>
      </c>
      <c r="M1" s="20" t="s">
        <v>38</v>
      </c>
      <c r="N1" s="20" t="s">
        <v>934</v>
      </c>
      <c r="O1" s="20" t="s">
        <v>28</v>
      </c>
      <c r="P1" s="20" t="s">
        <v>935</v>
      </c>
      <c r="Q1" s="20" t="s">
        <v>936</v>
      </c>
      <c r="R1" s="20" t="s">
        <v>937</v>
      </c>
      <c r="S1" s="20" t="s">
        <v>938</v>
      </c>
      <c r="T1" s="20" t="s">
        <v>32</v>
      </c>
      <c r="U1" s="20" t="s">
        <v>939</v>
      </c>
      <c r="V1" s="20" t="s">
        <v>940</v>
      </c>
      <c r="W1" s="20" t="s">
        <v>941</v>
      </c>
      <c r="X1" s="20" t="s">
        <v>942</v>
      </c>
      <c r="Y1" s="20" t="s">
        <v>943</v>
      </c>
      <c r="Z1" s="20" t="s">
        <v>944</v>
      </c>
      <c r="AA1" s="20" t="s">
        <v>945</v>
      </c>
      <c r="AB1" s="20" t="s">
        <v>946</v>
      </c>
      <c r="AC1" s="20" t="s">
        <v>947</v>
      </c>
      <c r="AD1" s="20" t="s">
        <v>948</v>
      </c>
      <c r="AE1" s="20" t="s">
        <v>949</v>
      </c>
      <c r="AF1" s="20" t="s">
        <v>950</v>
      </c>
      <c r="AG1" s="20" t="s">
        <v>951</v>
      </c>
      <c r="AH1" s="20" t="s">
        <v>952</v>
      </c>
      <c r="AI1" s="20" t="s">
        <v>953</v>
      </c>
      <c r="AJ1" s="20" t="s">
        <v>954</v>
      </c>
      <c r="AK1" s="20" t="s">
        <v>955</v>
      </c>
      <c r="AL1" s="20" t="s">
        <v>956</v>
      </c>
      <c r="AM1" s="20" t="s">
        <v>957</v>
      </c>
      <c r="AN1" s="20" t="s">
        <v>958</v>
      </c>
    </row>
    <row r="2" ht="14.25" spans="1:40">
      <c r="A2" s="20" t="s">
        <v>959</v>
      </c>
      <c r="B2" s="20">
        <f>1150+78/2</f>
        <v>1189</v>
      </c>
      <c r="C2" s="20">
        <f>属性计算面板!B2</f>
        <v>34400</v>
      </c>
      <c r="D2" s="20">
        <f>属性计算面板!B3</f>
        <v>45792</v>
      </c>
      <c r="E2" s="46">
        <f>2.171875*1.12</f>
        <v>2.4325</v>
      </c>
      <c r="F2" s="47">
        <v>1</v>
      </c>
      <c r="G2" s="47">
        <v>0.12</v>
      </c>
      <c r="H2" s="47">
        <f>(0.1*按提示输入属性!D54*额外增益统计!D122+(装备源表!AL330+装备源表!AM332)*额外增益统计!E122)</f>
        <v>0.1</v>
      </c>
      <c r="I2" s="47">
        <f>0.05+按提示输入属性!D65*1.3</f>
        <v>1.35</v>
      </c>
      <c r="J2" s="27">
        <f>属性计算面板!B6</f>
        <v>0.472</v>
      </c>
      <c r="K2" s="27">
        <f>(11.81%*装备源表!AO332+10.59%*装备源表!AO330)*额外增益统计!E122+(11.81%*额外增益统计!E165+13.44%*额外增益统计!D165)*额外增益统计!D122</f>
        <v>0.1181</v>
      </c>
      <c r="L2" s="27">
        <f>27550*(1-60%-额外增益统计!L74)/(27550*(1-60%-额外增益统计!L74)+51164.55)</f>
        <v>0.177214436704937</v>
      </c>
      <c r="M2" s="27">
        <f>属性计算面板!B7</f>
        <v>0.3473</v>
      </c>
      <c r="N2" s="27">
        <v>0.2</v>
      </c>
      <c r="O2" s="27">
        <f>属性计算面板!B4</f>
        <v>0.4994</v>
      </c>
      <c r="P2" s="27">
        <f>0.1*按提示输入属性!D63+0.1*额外增益统计!H117</f>
        <v>0</v>
      </c>
      <c r="Q2" s="27">
        <f>MIN(O2+P2,1)</f>
        <v>0.4994</v>
      </c>
      <c r="R2" s="20">
        <v>0.2441</v>
      </c>
      <c r="S2" s="27">
        <f>MIN(Q2+R2,1)</f>
        <v>0.7435</v>
      </c>
      <c r="T2" s="27">
        <f>属性计算面板!B5</f>
        <v>2.0895</v>
      </c>
      <c r="U2" s="27">
        <f>0.1*按提示输入属性!D63</f>
        <v>0</v>
      </c>
      <c r="V2" s="20">
        <f>MIN(T2+U2,3)</f>
        <v>2.0895</v>
      </c>
      <c r="W2" s="20">
        <v>0.2441</v>
      </c>
      <c r="X2" s="20">
        <f>MIN(V2+W2,3)</f>
        <v>2.3336</v>
      </c>
      <c r="Y2" s="20">
        <v>0.2441</v>
      </c>
      <c r="Z2" s="20">
        <f>MIN(V2+Y2,3)</f>
        <v>2.3336</v>
      </c>
      <c r="AA2" s="20">
        <v>0.1953</v>
      </c>
      <c r="AB2" s="20">
        <f>MIN(Z2+AA2,3)</f>
        <v>2.5289</v>
      </c>
      <c r="AC2" s="20">
        <f t="shared" ref="AC2:AC19" si="0">INT(INT(B2+D2*E2)*F2*(1+G2+H2)*(1+I2)*(1+J2)*(1-L2)*(1+M2)*(1-N2))</f>
        <v>421337</v>
      </c>
      <c r="AD2" s="20">
        <f t="shared" ref="AD2:AD19" si="1">INT((B2+(D2+C2*50%)*E2)*F2*(1+G2+H2)*(1+I2)*(1+J2)*(1-L2)*(1+M2)*(1-N2))</f>
        <v>577925</v>
      </c>
      <c r="AE2" s="20">
        <f t="shared" ref="AE2:AE19" si="2">INT((B2+(D2+C2*50%)*E2)*F2*(1+G2+H2)*(1+I2)*(1+J2+K2)*(1-L2)*(1+M2)*(1-N2))</f>
        <v>624292</v>
      </c>
      <c r="AF2" s="20">
        <f t="shared" ref="AF2:AF19" si="3">INT(AC2*V2)</f>
        <v>880383</v>
      </c>
      <c r="AG2" s="20">
        <f t="shared" ref="AG2:AG19" si="4">INT(AD2*Z2)</f>
        <v>1348645</v>
      </c>
      <c r="AH2" s="20">
        <f>INT(AE2*Z2)</f>
        <v>1456847</v>
      </c>
      <c r="AI2" s="20">
        <f>INT((B2+(D2+C2*25%)*E2)*F2*(1+G2+H2)*(1+I2)*(1+J2)*(1-L2)*(1+M2)*(1-N2))</f>
        <v>499631</v>
      </c>
      <c r="AJ2" s="20">
        <f>INT(AI2*X2)</f>
        <v>1165938</v>
      </c>
      <c r="AK2" s="20">
        <f>INT((B2+(D2+C2*25%)*E2)*F2*(1+G2+H2)*(1+I2)*(1+J2+K2)*(1-L2)*(1+M2)*(1-N2))</f>
        <v>539717</v>
      </c>
      <c r="AL2" s="20">
        <f>INT(AK2*X2)</f>
        <v>1259483</v>
      </c>
      <c r="AM2" s="20">
        <f>INT(AD2*AB2)</f>
        <v>1461514</v>
      </c>
      <c r="AN2" s="20">
        <f>INT(AE2*AB2)</f>
        <v>1578772</v>
      </c>
    </row>
    <row r="3" ht="14.25" spans="1:40">
      <c r="A3" s="20" t="s">
        <v>960</v>
      </c>
      <c r="B3" s="20">
        <v>50</v>
      </c>
      <c r="C3" s="20">
        <f>属性计算面板!B2</f>
        <v>34400</v>
      </c>
      <c r="D3" s="20">
        <f>属性计算面板!B3</f>
        <v>45792</v>
      </c>
      <c r="E3" s="48">
        <f>40*0.75*1.15*1.1*1.1*1.32/192</f>
        <v>0.286996875</v>
      </c>
      <c r="F3" s="47">
        <v>1</v>
      </c>
      <c r="G3" s="47">
        <v>0.12</v>
      </c>
      <c r="H3" s="47">
        <f>(0.1*按提示输入属性!D54*额外增益统计!D122+(装备源表!AL330+装备源表!AM332)*额外增益统计!E122)</f>
        <v>0.1</v>
      </c>
      <c r="I3" s="47">
        <f>I2</f>
        <v>1.35</v>
      </c>
      <c r="J3" s="27">
        <f>属性计算面板!B6</f>
        <v>0.472</v>
      </c>
      <c r="K3" s="27">
        <f>K2</f>
        <v>0.1181</v>
      </c>
      <c r="L3" s="27">
        <f>27550*(1-60%-额外增益统计!L74)/(27550*(1-60%-额外增益统计!L74)+51164.55)</f>
        <v>0.177214436704937</v>
      </c>
      <c r="M3" s="27">
        <f>属性计算面板!B7</f>
        <v>0.3473</v>
      </c>
      <c r="N3" s="27">
        <v>0.2</v>
      </c>
      <c r="O3" s="27">
        <f>属性计算面板!B4</f>
        <v>0.4994</v>
      </c>
      <c r="P3" s="27">
        <f>0.1*按提示输入属性!D63</f>
        <v>0</v>
      </c>
      <c r="Q3" s="27">
        <f t="shared" ref="Q2:Q29" si="5">MIN(O3+P3,1)</f>
        <v>0.4994</v>
      </c>
      <c r="R3" s="27">
        <f>R2</f>
        <v>0.2441</v>
      </c>
      <c r="S3" s="27">
        <f t="shared" ref="S2:S32" si="6">MIN(Q3+R3,1)</f>
        <v>0.7435</v>
      </c>
      <c r="T3" s="27">
        <f>属性计算面板!B5</f>
        <v>2.0895</v>
      </c>
      <c r="U3" s="27">
        <f>0.1*按提示输入属性!D63</f>
        <v>0</v>
      </c>
      <c r="V3" s="20">
        <f t="shared" ref="V2:V19" si="7">MIN(T3+U3,3)</f>
        <v>2.0895</v>
      </c>
      <c r="W3" s="20">
        <f t="shared" ref="W3:AA3" si="8">W2</f>
        <v>0.2441</v>
      </c>
      <c r="X3" s="20">
        <f t="shared" ref="X2:X19" si="9">MIN(V3+W3,3)</f>
        <v>2.3336</v>
      </c>
      <c r="Y3" s="20">
        <f t="shared" si="8"/>
        <v>0.2441</v>
      </c>
      <c r="Z3" s="20">
        <f t="shared" ref="Z2:Z19" si="10">MIN(V3+Y3,3)</f>
        <v>2.3336</v>
      </c>
      <c r="AA3" s="20">
        <f t="shared" si="8"/>
        <v>0.1953</v>
      </c>
      <c r="AB3" s="20">
        <f t="shared" ref="AB3:AB32" si="11">MIN(Z3+AA3,3)</f>
        <v>2.5289</v>
      </c>
      <c r="AC3" s="20">
        <f t="shared" si="0"/>
        <v>49372</v>
      </c>
      <c r="AD3" s="20">
        <f t="shared" si="1"/>
        <v>67848</v>
      </c>
      <c r="AE3" s="20">
        <f t="shared" si="2"/>
        <v>73291</v>
      </c>
      <c r="AF3" s="20">
        <f t="shared" si="3"/>
        <v>103162</v>
      </c>
      <c r="AG3" s="20">
        <f t="shared" si="4"/>
        <v>158330</v>
      </c>
      <c r="AH3" s="20">
        <f>INT(AE3*(T3+U3+0.4441+按提示输入属性!D64*0.1953))</f>
        <v>200003</v>
      </c>
      <c r="AI3" s="20">
        <f t="shared" ref="AI3:AI32" si="12">INT((B3+(D3+C3*25%)*E3)*F3*(1+G3+H3)*(1+I3)*(1+J3)*(1-L3)*(1+M3)*(1-N3))</f>
        <v>58610</v>
      </c>
      <c r="AJ3" s="20">
        <f t="shared" ref="AJ3:AJ32" si="13">INT(AI3*X3)</f>
        <v>136772</v>
      </c>
      <c r="AK3" s="20">
        <f t="shared" ref="AK3:AK32" si="14">INT((B3+(D3+C3*25%)*E3)*F3*(1+G3+H3)*(1+I3)*(1+J3+K3)*(1-L3)*(1+M3)*(1-N3))</f>
        <v>63313</v>
      </c>
      <c r="AL3" s="20">
        <f t="shared" ref="AL3:AL32" si="15">INT(AK3*X3)</f>
        <v>147747</v>
      </c>
      <c r="AM3" s="20">
        <f t="shared" ref="AM3:AM32" si="16">INT(AD3*AB3)</f>
        <v>171580</v>
      </c>
      <c r="AN3" s="20">
        <f t="shared" ref="AN3:AN32" si="17">INT(AE3*AB3)</f>
        <v>185345</v>
      </c>
    </row>
    <row r="4" ht="14.25" spans="1:40">
      <c r="A4" s="20" t="s">
        <v>961</v>
      </c>
      <c r="B4" s="20">
        <v>50</v>
      </c>
      <c r="C4" s="20">
        <f>属性计算面板!B2</f>
        <v>34400</v>
      </c>
      <c r="D4" s="20">
        <f>属性计算面板!B3</f>
        <v>45792</v>
      </c>
      <c r="E4" s="48">
        <f>E3</f>
        <v>0.286996875</v>
      </c>
      <c r="F4" s="47">
        <v>1</v>
      </c>
      <c r="G4" s="47">
        <v>0.12</v>
      </c>
      <c r="H4" s="47">
        <f>(0.1*按提示输入属性!D54*额外增益统计!D122+(装备源表!AL330+装备源表!AM332)*额外增益统计!E122)+(1*0.15)</f>
        <v>0.25</v>
      </c>
      <c r="I4" s="47">
        <f>I2</f>
        <v>1.35</v>
      </c>
      <c r="J4" s="27">
        <f>属性计算面板!B6</f>
        <v>0.472</v>
      </c>
      <c r="K4" s="27">
        <f>K2</f>
        <v>0.1181</v>
      </c>
      <c r="L4" s="27">
        <f>27550*(1-60%-额外增益统计!L74)/(27550*(1-60%-额外增益统计!L74)+51164.55)</f>
        <v>0.177214436704937</v>
      </c>
      <c r="M4" s="27">
        <f>属性计算面板!B7</f>
        <v>0.3473</v>
      </c>
      <c r="N4" s="27">
        <v>0.2</v>
      </c>
      <c r="O4" s="27">
        <f>属性计算面板!B4</f>
        <v>0.4994</v>
      </c>
      <c r="P4" s="27">
        <f>0.1*按提示输入属性!D63</f>
        <v>0</v>
      </c>
      <c r="Q4" s="27">
        <f t="shared" si="5"/>
        <v>0.4994</v>
      </c>
      <c r="R4" s="27">
        <f>R2</f>
        <v>0.2441</v>
      </c>
      <c r="S4" s="27">
        <f t="shared" si="6"/>
        <v>0.7435</v>
      </c>
      <c r="T4" s="27">
        <f>属性计算面板!B5</f>
        <v>2.0895</v>
      </c>
      <c r="U4" s="27">
        <f>0.1*按提示输入属性!D63</f>
        <v>0</v>
      </c>
      <c r="V4" s="20">
        <f t="shared" si="7"/>
        <v>2.0895</v>
      </c>
      <c r="W4" s="20">
        <f t="shared" ref="W4:AA4" si="18">W2</f>
        <v>0.2441</v>
      </c>
      <c r="X4" s="20">
        <f t="shared" si="9"/>
        <v>2.3336</v>
      </c>
      <c r="Y4" s="20">
        <f t="shared" si="18"/>
        <v>0.2441</v>
      </c>
      <c r="Z4" s="20">
        <f t="shared" si="10"/>
        <v>2.3336</v>
      </c>
      <c r="AA4" s="20">
        <f>AA2</f>
        <v>0.1953</v>
      </c>
      <c r="AB4" s="20">
        <f t="shared" si="11"/>
        <v>2.5289</v>
      </c>
      <c r="AC4" s="20">
        <f t="shared" si="0"/>
        <v>55443</v>
      </c>
      <c r="AD4" s="20">
        <f t="shared" si="1"/>
        <v>76190</v>
      </c>
      <c r="AE4" s="20">
        <f t="shared" si="2"/>
        <v>82303</v>
      </c>
      <c r="AF4" s="20">
        <f t="shared" si="3"/>
        <v>115848</v>
      </c>
      <c r="AG4" s="20">
        <f t="shared" si="4"/>
        <v>177796</v>
      </c>
      <c r="AH4" s="20">
        <f>INT(AE4*(T4+U4+0.4441+按提示输入属性!D64*0.1953))</f>
        <v>224596</v>
      </c>
      <c r="AI4" s="20">
        <f t="shared" si="12"/>
        <v>65817</v>
      </c>
      <c r="AJ4" s="20">
        <f t="shared" si="13"/>
        <v>153590</v>
      </c>
      <c r="AK4" s="20">
        <f t="shared" si="14"/>
        <v>71097</v>
      </c>
      <c r="AL4" s="20">
        <f t="shared" si="15"/>
        <v>165911</v>
      </c>
      <c r="AM4" s="20">
        <f t="shared" si="16"/>
        <v>192676</v>
      </c>
      <c r="AN4" s="20">
        <f t="shared" si="17"/>
        <v>208136</v>
      </c>
    </row>
    <row r="5" ht="14.25" spans="1:40">
      <c r="A5" s="20" t="s">
        <v>962</v>
      </c>
      <c r="B5" s="20">
        <v>50</v>
      </c>
      <c r="C5" s="20">
        <f>属性计算面板!B2</f>
        <v>34400</v>
      </c>
      <c r="D5" s="20">
        <f>属性计算面板!B3</f>
        <v>45792</v>
      </c>
      <c r="E5" s="48">
        <f>E3</f>
        <v>0.286996875</v>
      </c>
      <c r="F5" s="47">
        <v>1</v>
      </c>
      <c r="G5" s="47">
        <v>0.12</v>
      </c>
      <c r="H5" s="47">
        <f>(0.1*按提示输入属性!D54*额外增益统计!D122+(装备源表!AL330+装备源表!AM332)*额外增益统计!E122)+(2*0.15)</f>
        <v>0.4</v>
      </c>
      <c r="I5" s="47">
        <f>I2</f>
        <v>1.35</v>
      </c>
      <c r="J5" s="27">
        <f>属性计算面板!B6</f>
        <v>0.472</v>
      </c>
      <c r="K5" s="27">
        <f>K2</f>
        <v>0.1181</v>
      </c>
      <c r="L5" s="27">
        <f>27550*(1-60%-额外增益统计!L74)/(27550*(1-60%-额外增益统计!L74)+51164.55)</f>
        <v>0.177214436704937</v>
      </c>
      <c r="M5" s="27">
        <f>属性计算面板!B7</f>
        <v>0.3473</v>
      </c>
      <c r="N5" s="27">
        <v>0.2</v>
      </c>
      <c r="O5" s="27">
        <f>属性计算面板!B4</f>
        <v>0.4994</v>
      </c>
      <c r="P5" s="27">
        <f>0.1*按提示输入属性!D63</f>
        <v>0</v>
      </c>
      <c r="Q5" s="27">
        <f t="shared" si="5"/>
        <v>0.4994</v>
      </c>
      <c r="R5" s="27">
        <f>R2</f>
        <v>0.2441</v>
      </c>
      <c r="S5" s="27">
        <f t="shared" si="6"/>
        <v>0.7435</v>
      </c>
      <c r="T5" s="27">
        <f>属性计算面板!B5</f>
        <v>2.0895</v>
      </c>
      <c r="U5" s="27">
        <f>0.1*按提示输入属性!D63</f>
        <v>0</v>
      </c>
      <c r="V5" s="20">
        <f t="shared" si="7"/>
        <v>2.0895</v>
      </c>
      <c r="W5" s="20">
        <f t="shared" ref="W5:AA5" si="19">W2</f>
        <v>0.2441</v>
      </c>
      <c r="X5" s="20">
        <f t="shared" si="9"/>
        <v>2.3336</v>
      </c>
      <c r="Y5" s="20">
        <f t="shared" si="19"/>
        <v>0.2441</v>
      </c>
      <c r="Z5" s="20">
        <f t="shared" si="10"/>
        <v>2.3336</v>
      </c>
      <c r="AA5" s="20">
        <f t="shared" si="19"/>
        <v>0.1953</v>
      </c>
      <c r="AB5" s="20">
        <f t="shared" si="11"/>
        <v>2.5289</v>
      </c>
      <c r="AC5" s="20">
        <f t="shared" si="0"/>
        <v>61513</v>
      </c>
      <c r="AD5" s="20">
        <f t="shared" si="1"/>
        <v>84532</v>
      </c>
      <c r="AE5" s="20">
        <f t="shared" si="2"/>
        <v>91314</v>
      </c>
      <c r="AF5" s="20">
        <f t="shared" si="3"/>
        <v>128531</v>
      </c>
      <c r="AG5" s="20">
        <f t="shared" si="4"/>
        <v>197263</v>
      </c>
      <c r="AH5" s="20">
        <f>INT(AE5*(T5+U5+0.4441+按提示输入属性!D64*0.1953))</f>
        <v>249186</v>
      </c>
      <c r="AI5" s="20">
        <f t="shared" si="12"/>
        <v>73023</v>
      </c>
      <c r="AJ5" s="20">
        <f t="shared" si="13"/>
        <v>170406</v>
      </c>
      <c r="AK5" s="20">
        <f t="shared" si="14"/>
        <v>78881</v>
      </c>
      <c r="AL5" s="20">
        <f t="shared" si="15"/>
        <v>184076</v>
      </c>
      <c r="AM5" s="20">
        <f t="shared" si="16"/>
        <v>213772</v>
      </c>
      <c r="AN5" s="20">
        <f t="shared" si="17"/>
        <v>230923</v>
      </c>
    </row>
    <row r="6" ht="14.25" spans="1:40">
      <c r="A6" s="20" t="s">
        <v>963</v>
      </c>
      <c r="B6" s="20">
        <v>50</v>
      </c>
      <c r="C6" s="20">
        <f>属性计算面板!B2</f>
        <v>34400</v>
      </c>
      <c r="D6" s="20">
        <f>属性计算面板!B3</f>
        <v>45792</v>
      </c>
      <c r="E6" s="48">
        <f>E3</f>
        <v>0.286996875</v>
      </c>
      <c r="F6" s="47">
        <v>1</v>
      </c>
      <c r="G6" s="47">
        <v>0.12</v>
      </c>
      <c r="H6" s="47">
        <f>(0.1*按提示输入属性!D54*额外增益统计!D122+(装备源表!AL330+装备源表!AM332)*额外增益统计!E122)+(3*0.15)</f>
        <v>0.55</v>
      </c>
      <c r="I6" s="47">
        <f>I2</f>
        <v>1.35</v>
      </c>
      <c r="J6" s="27">
        <f>属性计算面板!B6</f>
        <v>0.472</v>
      </c>
      <c r="K6" s="27">
        <f>K2</f>
        <v>0.1181</v>
      </c>
      <c r="L6" s="27">
        <f>27550*(1-60%-额外增益统计!L74)/(27550*(1-60%-额外增益统计!L74)+51164.55)</f>
        <v>0.177214436704937</v>
      </c>
      <c r="M6" s="27">
        <f>属性计算面板!B7</f>
        <v>0.3473</v>
      </c>
      <c r="N6" s="27">
        <v>0.2</v>
      </c>
      <c r="O6" s="27">
        <f>属性计算面板!B4</f>
        <v>0.4994</v>
      </c>
      <c r="P6" s="27">
        <f>0.1*按提示输入属性!D63</f>
        <v>0</v>
      </c>
      <c r="Q6" s="27">
        <f t="shared" si="5"/>
        <v>0.4994</v>
      </c>
      <c r="R6" s="27">
        <f>R2</f>
        <v>0.2441</v>
      </c>
      <c r="S6" s="27">
        <f t="shared" si="6"/>
        <v>0.7435</v>
      </c>
      <c r="T6" s="27">
        <f>属性计算面板!B5</f>
        <v>2.0895</v>
      </c>
      <c r="U6" s="27">
        <f>0.1*按提示输入属性!D63</f>
        <v>0</v>
      </c>
      <c r="V6" s="20">
        <f t="shared" si="7"/>
        <v>2.0895</v>
      </c>
      <c r="W6" s="20">
        <f t="shared" ref="W6:AA6" si="20">W2</f>
        <v>0.2441</v>
      </c>
      <c r="X6" s="20">
        <f t="shared" si="9"/>
        <v>2.3336</v>
      </c>
      <c r="Y6" s="20">
        <f t="shared" si="20"/>
        <v>0.2441</v>
      </c>
      <c r="Z6" s="20">
        <f t="shared" si="10"/>
        <v>2.3336</v>
      </c>
      <c r="AA6" s="20">
        <f t="shared" si="20"/>
        <v>0.1953</v>
      </c>
      <c r="AB6" s="20">
        <f t="shared" si="11"/>
        <v>2.5289</v>
      </c>
      <c r="AC6" s="20">
        <f t="shared" si="0"/>
        <v>67583</v>
      </c>
      <c r="AD6" s="20">
        <f t="shared" si="1"/>
        <v>92874</v>
      </c>
      <c r="AE6" s="20">
        <f t="shared" si="2"/>
        <v>100325</v>
      </c>
      <c r="AF6" s="20">
        <f t="shared" si="3"/>
        <v>141214</v>
      </c>
      <c r="AG6" s="20">
        <f t="shared" si="4"/>
        <v>216730</v>
      </c>
      <c r="AH6" s="20">
        <f>INT(AE6*(T6+U6+0.4441+按提示输入属性!D64*0.1953))</f>
        <v>273776</v>
      </c>
      <c r="AI6" s="20">
        <f t="shared" si="12"/>
        <v>80229</v>
      </c>
      <c r="AJ6" s="20">
        <f t="shared" si="13"/>
        <v>187222</v>
      </c>
      <c r="AK6" s="20">
        <f t="shared" si="14"/>
        <v>86666</v>
      </c>
      <c r="AL6" s="20">
        <f t="shared" si="15"/>
        <v>202243</v>
      </c>
      <c r="AM6" s="20">
        <f t="shared" si="16"/>
        <v>234869</v>
      </c>
      <c r="AN6" s="20">
        <f t="shared" si="17"/>
        <v>253711</v>
      </c>
    </row>
    <row r="7" ht="14.25" spans="1:40">
      <c r="A7" s="20" t="s">
        <v>964</v>
      </c>
      <c r="B7" s="20">
        <v>50</v>
      </c>
      <c r="C7" s="20">
        <f>属性计算面板!B2</f>
        <v>34400</v>
      </c>
      <c r="D7" s="20">
        <f>属性计算面板!B3</f>
        <v>45792</v>
      </c>
      <c r="E7" s="48">
        <f>E3</f>
        <v>0.286996875</v>
      </c>
      <c r="F7" s="47">
        <v>1</v>
      </c>
      <c r="G7" s="47">
        <v>0.12</v>
      </c>
      <c r="H7" s="49">
        <f>(0.1*按提示输入属性!D54*额外增益统计!D122+(装备源表!AL330+装备源表!AM332)*额外增益统计!E122)+(4*0.15)</f>
        <v>0.7</v>
      </c>
      <c r="I7" s="47">
        <f>I2</f>
        <v>1.35</v>
      </c>
      <c r="J7" s="27">
        <f>属性计算面板!B6</f>
        <v>0.472</v>
      </c>
      <c r="K7" s="27">
        <f>K2</f>
        <v>0.1181</v>
      </c>
      <c r="L7" s="27">
        <f>27550*(1-60%-额外增益统计!L74)/(27550*(1-60%-额外增益统计!L74)+51164.55)</f>
        <v>0.177214436704937</v>
      </c>
      <c r="M7" s="27">
        <f>属性计算面板!B7</f>
        <v>0.3473</v>
      </c>
      <c r="N7" s="27">
        <v>0.2</v>
      </c>
      <c r="O7" s="27">
        <f>属性计算面板!B4</f>
        <v>0.4994</v>
      </c>
      <c r="P7" s="27">
        <f>0.1*按提示输入属性!D63</f>
        <v>0</v>
      </c>
      <c r="Q7" s="27">
        <f t="shared" si="5"/>
        <v>0.4994</v>
      </c>
      <c r="R7" s="27">
        <f>R2</f>
        <v>0.2441</v>
      </c>
      <c r="S7" s="27">
        <f t="shared" si="6"/>
        <v>0.7435</v>
      </c>
      <c r="T7" s="27">
        <f>属性计算面板!B5</f>
        <v>2.0895</v>
      </c>
      <c r="U7" s="27">
        <f>0.1*按提示输入属性!D63</f>
        <v>0</v>
      </c>
      <c r="V7" s="20">
        <f t="shared" si="7"/>
        <v>2.0895</v>
      </c>
      <c r="W7" s="20">
        <f t="shared" ref="W7:AA7" si="21">W2</f>
        <v>0.2441</v>
      </c>
      <c r="X7" s="20">
        <f t="shared" si="9"/>
        <v>2.3336</v>
      </c>
      <c r="Y7" s="20">
        <f t="shared" si="21"/>
        <v>0.2441</v>
      </c>
      <c r="Z7" s="20">
        <f t="shared" si="10"/>
        <v>2.3336</v>
      </c>
      <c r="AA7" s="20">
        <f t="shared" si="21"/>
        <v>0.1953</v>
      </c>
      <c r="AB7" s="20">
        <f t="shared" si="11"/>
        <v>2.5289</v>
      </c>
      <c r="AC7" s="20">
        <f t="shared" si="0"/>
        <v>73654</v>
      </c>
      <c r="AD7" s="20">
        <f t="shared" si="1"/>
        <v>101216</v>
      </c>
      <c r="AE7" s="20">
        <f t="shared" si="2"/>
        <v>109336</v>
      </c>
      <c r="AF7" s="20">
        <f t="shared" si="3"/>
        <v>153900</v>
      </c>
      <c r="AG7" s="20">
        <f t="shared" si="4"/>
        <v>236197</v>
      </c>
      <c r="AH7" s="20">
        <f>INT(AE7*(T7+U7+0.4441+按提示输入属性!D64*0.1953))</f>
        <v>298367</v>
      </c>
      <c r="AI7" s="20">
        <f t="shared" si="12"/>
        <v>87435</v>
      </c>
      <c r="AJ7" s="20">
        <f t="shared" si="13"/>
        <v>204038</v>
      </c>
      <c r="AK7" s="20">
        <f t="shared" si="14"/>
        <v>94450</v>
      </c>
      <c r="AL7" s="20">
        <f t="shared" si="15"/>
        <v>220408</v>
      </c>
      <c r="AM7" s="20">
        <f t="shared" si="16"/>
        <v>255965</v>
      </c>
      <c r="AN7" s="20">
        <f t="shared" si="17"/>
        <v>276499</v>
      </c>
    </row>
    <row r="8" s="20" customFormat="1" spans="1:40">
      <c r="A8" s="20" t="s">
        <v>965</v>
      </c>
      <c r="B8" s="20">
        <f>1038+104/2</f>
        <v>1090</v>
      </c>
      <c r="C8" s="20">
        <f>属性计算面板!B2</f>
        <v>34400</v>
      </c>
      <c r="D8" s="20">
        <f>属性计算面板!B3</f>
        <v>45792</v>
      </c>
      <c r="E8" s="20">
        <v>0.7239</v>
      </c>
      <c r="F8" s="20">
        <v>1</v>
      </c>
      <c r="I8" s="20">
        <f>0.05</f>
        <v>0.05</v>
      </c>
      <c r="J8" s="20">
        <f>属性计算面板!B6</f>
        <v>0.472</v>
      </c>
      <c r="K8" s="20">
        <f>K2</f>
        <v>0.1181</v>
      </c>
      <c r="L8" s="20">
        <f>27550*(1-60%-额外增益统计!L74)/(27550*(1-60%-额外增益统计!L74)+51164.55)</f>
        <v>0.177214436704937</v>
      </c>
      <c r="M8" s="20">
        <f>属性计算面板!B7</f>
        <v>0.3473</v>
      </c>
      <c r="N8" s="27">
        <v>0.2</v>
      </c>
      <c r="O8" s="20">
        <f>属性计算面板!B4</f>
        <v>0.4994</v>
      </c>
      <c r="Q8" s="27">
        <f t="shared" si="5"/>
        <v>0.4994</v>
      </c>
      <c r="R8" s="20">
        <f>R2</f>
        <v>0.2441</v>
      </c>
      <c r="S8" s="27">
        <f t="shared" si="6"/>
        <v>0.7435</v>
      </c>
      <c r="T8" s="20">
        <f>属性计算面板!B5</f>
        <v>2.0895</v>
      </c>
      <c r="V8" s="20">
        <f t="shared" si="7"/>
        <v>2.0895</v>
      </c>
      <c r="W8" s="20">
        <f>W2</f>
        <v>0.2441</v>
      </c>
      <c r="X8" s="20">
        <f t="shared" si="9"/>
        <v>2.3336</v>
      </c>
      <c r="Y8" s="20">
        <f>Y3</f>
        <v>0.2441</v>
      </c>
      <c r="Z8" s="20">
        <f t="shared" si="10"/>
        <v>2.3336</v>
      </c>
      <c r="AA8" s="20">
        <f>AA2</f>
        <v>0.1953</v>
      </c>
      <c r="AB8" s="20">
        <f t="shared" si="11"/>
        <v>2.5289</v>
      </c>
      <c r="AC8" s="20">
        <f t="shared" si="0"/>
        <v>46929</v>
      </c>
      <c r="AD8" s="20">
        <f t="shared" si="1"/>
        <v>63997</v>
      </c>
      <c r="AE8" s="20">
        <f t="shared" si="2"/>
        <v>69131</v>
      </c>
      <c r="AF8" s="20">
        <f t="shared" si="3"/>
        <v>98058</v>
      </c>
      <c r="AG8" s="20">
        <f t="shared" si="4"/>
        <v>149343</v>
      </c>
      <c r="AH8" s="20">
        <f t="shared" ref="AH8:AH14" si="22">INT(AE8*(T8+U8+0.4441))</f>
        <v>175150</v>
      </c>
      <c r="AI8" s="20">
        <f t="shared" si="12"/>
        <v>55463</v>
      </c>
      <c r="AJ8" s="20">
        <f t="shared" si="13"/>
        <v>129428</v>
      </c>
      <c r="AK8" s="20">
        <f t="shared" si="14"/>
        <v>59913</v>
      </c>
      <c r="AL8" s="20">
        <f t="shared" si="15"/>
        <v>139812</v>
      </c>
      <c r="AM8" s="20">
        <f t="shared" si="16"/>
        <v>161842</v>
      </c>
      <c r="AN8" s="20">
        <f t="shared" si="17"/>
        <v>174825</v>
      </c>
    </row>
    <row r="9" s="20" customFormat="1" spans="1:40">
      <c r="A9" s="20" t="s">
        <v>966</v>
      </c>
      <c r="B9" s="20">
        <v>51</v>
      </c>
      <c r="C9" s="20">
        <f>属性计算面板!B2</f>
        <v>34400</v>
      </c>
      <c r="D9" s="20">
        <f>属性计算面板!B3</f>
        <v>45792</v>
      </c>
      <c r="E9" s="20">
        <v>0.5453</v>
      </c>
      <c r="F9" s="20">
        <v>1</v>
      </c>
      <c r="I9" s="20">
        <f>I8</f>
        <v>0.05</v>
      </c>
      <c r="J9" s="20">
        <f>属性计算面板!B6</f>
        <v>0.472</v>
      </c>
      <c r="K9" s="20">
        <f>K2</f>
        <v>0.1181</v>
      </c>
      <c r="L9" s="20">
        <f>27550*(1-60%-额外增益统计!L74)/(27550*(1-60%-额外增益统计!L74)+51164.55)</f>
        <v>0.177214436704937</v>
      </c>
      <c r="M9" s="20">
        <f>属性计算面板!B7</f>
        <v>0.3473</v>
      </c>
      <c r="N9" s="27">
        <v>0.2</v>
      </c>
      <c r="O9" s="20">
        <f>属性计算面板!B4</f>
        <v>0.4994</v>
      </c>
      <c r="Q9" s="27">
        <f t="shared" si="5"/>
        <v>0.4994</v>
      </c>
      <c r="R9" s="20">
        <f>R2</f>
        <v>0.2441</v>
      </c>
      <c r="S9" s="27">
        <f t="shared" si="6"/>
        <v>0.7435</v>
      </c>
      <c r="T9" s="20">
        <f>属性计算面板!B5</f>
        <v>2.0895</v>
      </c>
      <c r="V9" s="20">
        <f t="shared" si="7"/>
        <v>2.0895</v>
      </c>
      <c r="W9" s="20">
        <f t="shared" ref="W9:AA9" si="23">W2</f>
        <v>0.2441</v>
      </c>
      <c r="X9" s="20">
        <f t="shared" si="9"/>
        <v>2.3336</v>
      </c>
      <c r="Y9" s="20">
        <f t="shared" si="23"/>
        <v>0.2441</v>
      </c>
      <c r="Z9" s="20">
        <f t="shared" si="10"/>
        <v>2.3336</v>
      </c>
      <c r="AA9" s="20">
        <f t="shared" si="23"/>
        <v>0.1953</v>
      </c>
      <c r="AB9" s="20">
        <f t="shared" si="11"/>
        <v>2.5289</v>
      </c>
      <c r="AC9" s="20">
        <f t="shared" si="0"/>
        <v>34295</v>
      </c>
      <c r="AD9" s="20">
        <f t="shared" si="1"/>
        <v>47152</v>
      </c>
      <c r="AE9" s="20">
        <f t="shared" si="2"/>
        <v>50935</v>
      </c>
      <c r="AF9" s="20">
        <f t="shared" si="3"/>
        <v>71659</v>
      </c>
      <c r="AG9" s="20">
        <f t="shared" si="4"/>
        <v>110033</v>
      </c>
      <c r="AH9" s="20">
        <f t="shared" si="22"/>
        <v>129048</v>
      </c>
      <c r="AI9" s="20">
        <f t="shared" si="12"/>
        <v>40724</v>
      </c>
      <c r="AJ9" s="20">
        <f t="shared" si="13"/>
        <v>95033</v>
      </c>
      <c r="AK9" s="20">
        <f t="shared" si="14"/>
        <v>43991</v>
      </c>
      <c r="AL9" s="20">
        <f t="shared" si="15"/>
        <v>102657</v>
      </c>
      <c r="AM9" s="20">
        <f t="shared" si="16"/>
        <v>119242</v>
      </c>
      <c r="AN9" s="20">
        <f t="shared" si="17"/>
        <v>128809</v>
      </c>
    </row>
    <row r="10" ht="14.25" spans="1:40">
      <c r="A10" s="20" t="s">
        <v>967</v>
      </c>
      <c r="B10" s="20">
        <f>2087+20/2-1097</f>
        <v>1000</v>
      </c>
      <c r="C10" s="20">
        <f>属性计算面板!B2</f>
        <v>34400</v>
      </c>
      <c r="D10" s="20">
        <f>属性计算面板!B3</f>
        <v>45792</v>
      </c>
      <c r="E10" s="48">
        <f>1.109375*2.07</f>
        <v>2.29640625</v>
      </c>
      <c r="F10" s="47">
        <v>1</v>
      </c>
      <c r="G10" s="50">
        <f>0.05*按提示输入属性!D42</f>
        <v>0</v>
      </c>
      <c r="H10" s="50">
        <v>0.2</v>
      </c>
      <c r="I10" s="47">
        <f>I8</f>
        <v>0.05</v>
      </c>
      <c r="J10" s="27">
        <f>属性计算面板!B6</f>
        <v>0.472</v>
      </c>
      <c r="K10" s="27">
        <f>K2</f>
        <v>0.1181</v>
      </c>
      <c r="L10" s="27">
        <f>27550*(1-60%-额外增益统计!L74)/(27550*(1-60%-额外增益统计!L74)+51164.55)</f>
        <v>0.177214436704937</v>
      </c>
      <c r="M10" s="27">
        <f>属性计算面板!B7</f>
        <v>0.3473</v>
      </c>
      <c r="N10" s="27">
        <v>0.2</v>
      </c>
      <c r="O10" s="27">
        <f>属性计算面板!B4</f>
        <v>0.4994</v>
      </c>
      <c r="P10" s="27">
        <f>0.17+按提示输入属性!D39*0.05</f>
        <v>0.17</v>
      </c>
      <c r="Q10" s="27">
        <f t="shared" si="5"/>
        <v>0.6694</v>
      </c>
      <c r="R10" s="27">
        <f>R2</f>
        <v>0.2441</v>
      </c>
      <c r="S10" s="27">
        <f t="shared" si="6"/>
        <v>0.9135</v>
      </c>
      <c r="T10" s="27">
        <f>属性计算面板!B5</f>
        <v>2.0895</v>
      </c>
      <c r="U10" s="27">
        <v>0.1</v>
      </c>
      <c r="V10" s="20">
        <f t="shared" si="7"/>
        <v>2.1895</v>
      </c>
      <c r="W10" s="20">
        <f t="shared" ref="W10:AA10" si="24">W2</f>
        <v>0.2441</v>
      </c>
      <c r="X10" s="20">
        <f t="shared" si="9"/>
        <v>2.4336</v>
      </c>
      <c r="Y10" s="20">
        <f t="shared" si="24"/>
        <v>0.2441</v>
      </c>
      <c r="Z10" s="20">
        <f t="shared" si="10"/>
        <v>2.4336</v>
      </c>
      <c r="AA10" s="20">
        <f t="shared" si="24"/>
        <v>0.1953</v>
      </c>
      <c r="AB10" s="20">
        <f t="shared" si="11"/>
        <v>2.6289</v>
      </c>
      <c r="AC10" s="20">
        <f t="shared" si="0"/>
        <v>174609</v>
      </c>
      <c r="AD10" s="20">
        <f t="shared" si="1"/>
        <v>239577</v>
      </c>
      <c r="AE10" s="20">
        <f t="shared" si="2"/>
        <v>258798</v>
      </c>
      <c r="AF10" s="20">
        <f t="shared" si="3"/>
        <v>382306</v>
      </c>
      <c r="AG10" s="20">
        <f t="shared" si="4"/>
        <v>583034</v>
      </c>
      <c r="AH10" s="20">
        <f t="shared" si="22"/>
        <v>681570</v>
      </c>
      <c r="AI10" s="20">
        <f t="shared" si="12"/>
        <v>207093</v>
      </c>
      <c r="AJ10" s="20">
        <f t="shared" si="13"/>
        <v>503981</v>
      </c>
      <c r="AK10" s="20">
        <f t="shared" si="14"/>
        <v>223708</v>
      </c>
      <c r="AL10" s="20">
        <f t="shared" si="15"/>
        <v>544415</v>
      </c>
      <c r="AM10" s="20">
        <f t="shared" si="16"/>
        <v>629823</v>
      </c>
      <c r="AN10" s="20">
        <f t="shared" si="17"/>
        <v>680354</v>
      </c>
    </row>
    <row r="11" ht="14.25" spans="1:40">
      <c r="A11" s="20" t="s">
        <v>968</v>
      </c>
      <c r="B11" s="20">
        <f>INT(2726+27/2)</f>
        <v>2739</v>
      </c>
      <c r="C11" s="20">
        <f>属性计算面板!B2</f>
        <v>34400</v>
      </c>
      <c r="D11" s="20">
        <f>属性计算面板!B3</f>
        <v>45792</v>
      </c>
      <c r="E11" s="48">
        <f>1.515625*1.32</f>
        <v>2.000625</v>
      </c>
      <c r="F11" s="47">
        <v>1</v>
      </c>
      <c r="G11" s="50">
        <v>0.09</v>
      </c>
      <c r="H11" s="50">
        <f>0.2</f>
        <v>0.2</v>
      </c>
      <c r="I11" s="47">
        <f>I8</f>
        <v>0.05</v>
      </c>
      <c r="J11" s="27">
        <f>属性计算面板!B6</f>
        <v>0.472</v>
      </c>
      <c r="K11" s="27">
        <f>K2</f>
        <v>0.1181</v>
      </c>
      <c r="L11" s="27">
        <f>27550*(1-60%-额外增益统计!L74)/(27550*(1-60%-额外增益统计!L74)+51164.55)</f>
        <v>0.177214436704937</v>
      </c>
      <c r="M11" s="27">
        <f>属性计算面板!B7</f>
        <v>0.3473</v>
      </c>
      <c r="N11" s="27">
        <v>0.2</v>
      </c>
      <c r="O11" s="27">
        <f>属性计算面板!B4</f>
        <v>0.4994</v>
      </c>
      <c r="P11" s="27">
        <v>0.04</v>
      </c>
      <c r="Q11" s="27">
        <f t="shared" si="5"/>
        <v>0.5394</v>
      </c>
      <c r="R11" s="27">
        <f>R2</f>
        <v>0.2441</v>
      </c>
      <c r="S11" s="27">
        <f t="shared" si="6"/>
        <v>0.7835</v>
      </c>
      <c r="T11" s="27">
        <f>属性计算面板!B5</f>
        <v>2.0895</v>
      </c>
      <c r="U11" s="27"/>
      <c r="V11" s="20">
        <f t="shared" si="7"/>
        <v>2.0895</v>
      </c>
      <c r="W11" s="20">
        <f t="shared" ref="W11:AA11" si="25">W2</f>
        <v>0.2441</v>
      </c>
      <c r="X11" s="20">
        <f t="shared" si="9"/>
        <v>2.3336</v>
      </c>
      <c r="Y11" s="20">
        <f t="shared" si="25"/>
        <v>0.2441</v>
      </c>
      <c r="Z11" s="20">
        <f t="shared" si="10"/>
        <v>2.3336</v>
      </c>
      <c r="AA11" s="20">
        <f t="shared" si="25"/>
        <v>0.1953</v>
      </c>
      <c r="AB11" s="20">
        <f t="shared" si="11"/>
        <v>2.5289</v>
      </c>
      <c r="AC11" s="20">
        <f t="shared" si="0"/>
        <v>166830</v>
      </c>
      <c r="AD11" s="20">
        <f t="shared" si="1"/>
        <v>227675</v>
      </c>
      <c r="AE11" s="20">
        <f t="shared" si="2"/>
        <v>245942</v>
      </c>
      <c r="AF11" s="20">
        <f t="shared" si="3"/>
        <v>348591</v>
      </c>
      <c r="AG11" s="20">
        <f t="shared" si="4"/>
        <v>531302</v>
      </c>
      <c r="AH11" s="20">
        <f t="shared" si="22"/>
        <v>623118</v>
      </c>
      <c r="AI11" s="20">
        <f t="shared" si="12"/>
        <v>197253</v>
      </c>
      <c r="AJ11" s="20">
        <f t="shared" si="13"/>
        <v>460309</v>
      </c>
      <c r="AK11" s="20">
        <f t="shared" si="14"/>
        <v>213079</v>
      </c>
      <c r="AL11" s="20">
        <f t="shared" si="15"/>
        <v>497241</v>
      </c>
      <c r="AM11" s="20">
        <f t="shared" si="16"/>
        <v>575767</v>
      </c>
      <c r="AN11" s="20">
        <f t="shared" si="17"/>
        <v>621962</v>
      </c>
    </row>
    <row r="12" ht="14.25" spans="1:40">
      <c r="A12" s="20" t="s">
        <v>969</v>
      </c>
      <c r="B12" s="20">
        <f>2454+24/2</f>
        <v>2466</v>
      </c>
      <c r="C12" s="20">
        <f>属性计算面板!B2</f>
        <v>34400</v>
      </c>
      <c r="D12" s="20">
        <f>属性计算面板!B3</f>
        <v>45792</v>
      </c>
      <c r="E12" s="48">
        <f>1.2531719*1.32</f>
        <v>1.654186908</v>
      </c>
      <c r="F12" s="47">
        <v>1</v>
      </c>
      <c r="G12" s="50">
        <v>0.09</v>
      </c>
      <c r="H12" s="50">
        <f>0.2</f>
        <v>0.2</v>
      </c>
      <c r="I12" s="47">
        <f>I8</f>
        <v>0.05</v>
      </c>
      <c r="J12" s="27">
        <f>属性计算面板!B6</f>
        <v>0.472</v>
      </c>
      <c r="K12" s="27">
        <f>K2</f>
        <v>0.1181</v>
      </c>
      <c r="L12" s="27">
        <f>27550*(1-60%-额外增益统计!L74)/(27550*(1-60%-额外增益统计!L74)+51164.55)</f>
        <v>0.177214436704937</v>
      </c>
      <c r="M12" s="27">
        <f>属性计算面板!B7</f>
        <v>0.3473</v>
      </c>
      <c r="N12" s="27">
        <v>0.2</v>
      </c>
      <c r="O12" s="27">
        <f>属性计算面板!B4</f>
        <v>0.4994</v>
      </c>
      <c r="P12" s="27">
        <v>0.04</v>
      </c>
      <c r="Q12" s="27">
        <f t="shared" si="5"/>
        <v>0.5394</v>
      </c>
      <c r="R12" s="27">
        <f>R2</f>
        <v>0.2441</v>
      </c>
      <c r="S12" s="27">
        <f t="shared" si="6"/>
        <v>0.7835</v>
      </c>
      <c r="T12" s="27">
        <f>属性计算面板!B5</f>
        <v>2.0895</v>
      </c>
      <c r="U12" s="27"/>
      <c r="V12" s="20">
        <f t="shared" si="7"/>
        <v>2.0895</v>
      </c>
      <c r="W12" s="20">
        <f t="shared" ref="W12:AA12" si="26">W2</f>
        <v>0.2441</v>
      </c>
      <c r="X12" s="20">
        <f t="shared" si="9"/>
        <v>2.3336</v>
      </c>
      <c r="Y12" s="20">
        <f t="shared" si="26"/>
        <v>0.2441</v>
      </c>
      <c r="Z12" s="20">
        <f t="shared" si="10"/>
        <v>2.3336</v>
      </c>
      <c r="AA12" s="20">
        <f t="shared" si="26"/>
        <v>0.1953</v>
      </c>
      <c r="AB12" s="20">
        <f t="shared" si="11"/>
        <v>2.5289</v>
      </c>
      <c r="AC12" s="20">
        <f t="shared" si="0"/>
        <v>138296</v>
      </c>
      <c r="AD12" s="20">
        <f t="shared" si="1"/>
        <v>188606</v>
      </c>
      <c r="AE12" s="20">
        <f t="shared" si="2"/>
        <v>203738</v>
      </c>
      <c r="AF12" s="20">
        <f t="shared" si="3"/>
        <v>288969</v>
      </c>
      <c r="AG12" s="20">
        <f t="shared" si="4"/>
        <v>440130</v>
      </c>
      <c r="AH12" s="20">
        <f t="shared" si="22"/>
        <v>516190</v>
      </c>
      <c r="AI12" s="20">
        <f t="shared" si="12"/>
        <v>163451</v>
      </c>
      <c r="AJ12" s="20">
        <f t="shared" si="13"/>
        <v>381429</v>
      </c>
      <c r="AK12" s="20">
        <f t="shared" si="14"/>
        <v>176565</v>
      </c>
      <c r="AL12" s="20">
        <f t="shared" si="15"/>
        <v>412032</v>
      </c>
      <c r="AM12" s="20">
        <f t="shared" si="16"/>
        <v>476965</v>
      </c>
      <c r="AN12" s="20">
        <f t="shared" si="17"/>
        <v>515233</v>
      </c>
    </row>
    <row r="13" ht="14.25" spans="1:40">
      <c r="A13" s="20" t="s">
        <v>970</v>
      </c>
      <c r="B13" s="20">
        <f>INT(2181+21/2)</f>
        <v>2191</v>
      </c>
      <c r="C13" s="20">
        <f>属性计算面板!B2</f>
        <v>34400</v>
      </c>
      <c r="D13" s="20">
        <f>属性计算面板!B3</f>
        <v>45792</v>
      </c>
      <c r="E13" s="48">
        <f>1.10504169*1.32</f>
        <v>1.4586550308</v>
      </c>
      <c r="F13" s="47">
        <v>1</v>
      </c>
      <c r="G13" s="50">
        <v>0.09</v>
      </c>
      <c r="H13" s="50">
        <f>0.2</f>
        <v>0.2</v>
      </c>
      <c r="I13" s="47">
        <f>I8</f>
        <v>0.05</v>
      </c>
      <c r="J13" s="27">
        <f>属性计算面板!B6</f>
        <v>0.472</v>
      </c>
      <c r="K13" s="27">
        <f>K2</f>
        <v>0.1181</v>
      </c>
      <c r="L13" s="27">
        <f>27550*(1-60%-额外增益统计!L74)/(27550*(1-60%-额外增益统计!L74)+51164.55)</f>
        <v>0.177214436704937</v>
      </c>
      <c r="M13" s="27">
        <f>属性计算面板!B7</f>
        <v>0.3473</v>
      </c>
      <c r="N13" s="27">
        <v>0.2</v>
      </c>
      <c r="O13" s="27">
        <f>属性计算面板!B4</f>
        <v>0.4994</v>
      </c>
      <c r="P13" s="27">
        <v>0.04</v>
      </c>
      <c r="Q13" s="27">
        <f t="shared" si="5"/>
        <v>0.5394</v>
      </c>
      <c r="R13" s="27">
        <f>R2</f>
        <v>0.2441</v>
      </c>
      <c r="S13" s="27">
        <f t="shared" si="6"/>
        <v>0.7835</v>
      </c>
      <c r="T13" s="27">
        <f>属性计算面板!B5</f>
        <v>2.0895</v>
      </c>
      <c r="U13" s="27"/>
      <c r="V13" s="20">
        <f t="shared" si="7"/>
        <v>2.0895</v>
      </c>
      <c r="W13" s="20">
        <f t="shared" ref="W13:AA13" si="27">W2</f>
        <v>0.2441</v>
      </c>
      <c r="X13" s="20">
        <f t="shared" si="9"/>
        <v>2.3336</v>
      </c>
      <c r="Y13" s="20">
        <f t="shared" si="27"/>
        <v>0.2441</v>
      </c>
      <c r="Z13" s="20">
        <f t="shared" si="10"/>
        <v>2.3336</v>
      </c>
      <c r="AA13" s="20">
        <f t="shared" si="27"/>
        <v>0.1953</v>
      </c>
      <c r="AB13" s="20">
        <f t="shared" si="11"/>
        <v>2.5289</v>
      </c>
      <c r="AC13" s="20">
        <f t="shared" si="0"/>
        <v>121978</v>
      </c>
      <c r="AD13" s="20">
        <f t="shared" si="1"/>
        <v>166341</v>
      </c>
      <c r="AE13" s="20">
        <f t="shared" si="2"/>
        <v>179687</v>
      </c>
      <c r="AF13" s="20">
        <f t="shared" si="3"/>
        <v>254873</v>
      </c>
      <c r="AG13" s="20">
        <f t="shared" si="4"/>
        <v>388173</v>
      </c>
      <c r="AH13" s="20">
        <f t="shared" si="22"/>
        <v>455254</v>
      </c>
      <c r="AI13" s="20">
        <f t="shared" si="12"/>
        <v>144160</v>
      </c>
      <c r="AJ13" s="20">
        <f t="shared" si="13"/>
        <v>336411</v>
      </c>
      <c r="AK13" s="20">
        <f t="shared" si="14"/>
        <v>155726</v>
      </c>
      <c r="AL13" s="20">
        <f t="shared" si="15"/>
        <v>363402</v>
      </c>
      <c r="AM13" s="20">
        <f t="shared" si="16"/>
        <v>420659</v>
      </c>
      <c r="AN13" s="20">
        <f t="shared" si="17"/>
        <v>454410</v>
      </c>
    </row>
    <row r="14" ht="14.25" spans="1:40">
      <c r="A14" s="20" t="s">
        <v>971</v>
      </c>
      <c r="B14" s="20">
        <f t="shared" ref="B14:B18" si="28">64+52/2</f>
        <v>90</v>
      </c>
      <c r="C14" s="20">
        <f>属性计算面板!B2</f>
        <v>34400</v>
      </c>
      <c r="D14" s="20">
        <f>属性计算面板!B3</f>
        <v>45792</v>
      </c>
      <c r="E14" s="48">
        <v>0.854167</v>
      </c>
      <c r="F14" s="47">
        <v>1</v>
      </c>
      <c r="G14" s="50"/>
      <c r="H14" s="50">
        <v>0</v>
      </c>
      <c r="I14" s="47">
        <f>I8</f>
        <v>0.05</v>
      </c>
      <c r="J14" s="27">
        <f>属性计算面板!B6</f>
        <v>0.472</v>
      </c>
      <c r="K14" s="27">
        <f>K2</f>
        <v>0.1181</v>
      </c>
      <c r="L14" s="27">
        <f>27550*(1-60%-额外增益统计!L74)/(27550*(1-60%-额外增益统计!L74)+51164.55)</f>
        <v>0.177214436704937</v>
      </c>
      <c r="M14" s="27">
        <f>属性计算面板!B7</f>
        <v>0.3473</v>
      </c>
      <c r="N14" s="27">
        <v>0.2</v>
      </c>
      <c r="O14" s="27">
        <f>属性计算面板!B4</f>
        <v>0.4994</v>
      </c>
      <c r="P14" s="27"/>
      <c r="Q14" s="27">
        <f t="shared" si="5"/>
        <v>0.4994</v>
      </c>
      <c r="R14" s="27">
        <f>R2</f>
        <v>0.2441</v>
      </c>
      <c r="S14" s="27">
        <f t="shared" si="6"/>
        <v>0.7435</v>
      </c>
      <c r="T14" s="27">
        <f>属性计算面板!B5</f>
        <v>2.0895</v>
      </c>
      <c r="U14" s="27"/>
      <c r="V14" s="20">
        <f t="shared" si="7"/>
        <v>2.0895</v>
      </c>
      <c r="W14" s="20">
        <f t="shared" ref="W14:AA14" si="29">W2</f>
        <v>0.2441</v>
      </c>
      <c r="X14" s="20">
        <f t="shared" si="9"/>
        <v>2.3336</v>
      </c>
      <c r="Y14" s="20">
        <f t="shared" si="29"/>
        <v>0.2441</v>
      </c>
      <c r="Z14" s="20">
        <f t="shared" si="10"/>
        <v>2.3336</v>
      </c>
      <c r="AA14" s="20">
        <f t="shared" si="29"/>
        <v>0.1953</v>
      </c>
      <c r="AB14" s="20">
        <f t="shared" si="11"/>
        <v>2.5289</v>
      </c>
      <c r="AC14" s="20">
        <f t="shared" si="0"/>
        <v>53736</v>
      </c>
      <c r="AD14" s="20">
        <f t="shared" si="1"/>
        <v>73874</v>
      </c>
      <c r="AE14" s="20">
        <f t="shared" si="2"/>
        <v>79801</v>
      </c>
      <c r="AF14" s="20">
        <f t="shared" si="3"/>
        <v>112281</v>
      </c>
      <c r="AG14" s="20">
        <f t="shared" si="4"/>
        <v>172392</v>
      </c>
      <c r="AH14" s="20">
        <f t="shared" si="22"/>
        <v>202183</v>
      </c>
      <c r="AI14" s="20">
        <f t="shared" si="12"/>
        <v>63805</v>
      </c>
      <c r="AJ14" s="20">
        <f t="shared" si="13"/>
        <v>148895</v>
      </c>
      <c r="AK14" s="20">
        <f t="shared" si="14"/>
        <v>68924</v>
      </c>
      <c r="AL14" s="20">
        <f t="shared" si="15"/>
        <v>160841</v>
      </c>
      <c r="AM14" s="20">
        <f t="shared" si="16"/>
        <v>186819</v>
      </c>
      <c r="AN14" s="20">
        <f t="shared" si="17"/>
        <v>201808</v>
      </c>
    </row>
    <row r="15" ht="14.25" spans="1:40">
      <c r="A15" s="20" t="s">
        <v>972</v>
      </c>
      <c r="B15" s="20">
        <f t="shared" si="28"/>
        <v>90</v>
      </c>
      <c r="C15" s="20">
        <f>属性计算面板!B2</f>
        <v>34400</v>
      </c>
      <c r="D15" s="20">
        <f>属性计算面板!B3</f>
        <v>45792</v>
      </c>
      <c r="E15" s="48">
        <v>0.854167</v>
      </c>
      <c r="F15" s="47">
        <v>1</v>
      </c>
      <c r="G15" s="50"/>
      <c r="H15" s="15">
        <v>0.35</v>
      </c>
      <c r="I15" s="47">
        <f>I8</f>
        <v>0.05</v>
      </c>
      <c r="J15" s="27">
        <f>属性计算面板!B6</f>
        <v>0.472</v>
      </c>
      <c r="K15" s="27">
        <f>K2</f>
        <v>0.1181</v>
      </c>
      <c r="L15" s="27">
        <f>27550*(1-60%-额外增益统计!L74)/(27550*(1-60%-额外增益统计!L74)+51164.55)</f>
        <v>0.177214436704937</v>
      </c>
      <c r="M15" s="27">
        <f>属性计算面板!B7</f>
        <v>0.3473</v>
      </c>
      <c r="N15" s="27">
        <v>0.2</v>
      </c>
      <c r="O15" s="27">
        <f>属性计算面板!B4</f>
        <v>0.4994</v>
      </c>
      <c r="P15" s="27"/>
      <c r="Q15" s="27">
        <f t="shared" si="5"/>
        <v>0.4994</v>
      </c>
      <c r="R15" s="27">
        <f>R2</f>
        <v>0.2441</v>
      </c>
      <c r="S15" s="27">
        <f t="shared" si="6"/>
        <v>0.7435</v>
      </c>
      <c r="T15" s="27">
        <f>属性计算面板!B5</f>
        <v>2.0895</v>
      </c>
      <c r="U15" s="27"/>
      <c r="V15" s="20">
        <f t="shared" si="7"/>
        <v>2.0895</v>
      </c>
      <c r="W15" s="20">
        <f t="shared" ref="W15:AA15" si="30">W2</f>
        <v>0.2441</v>
      </c>
      <c r="X15" s="20">
        <f t="shared" si="9"/>
        <v>2.3336</v>
      </c>
      <c r="Y15" s="20">
        <f t="shared" si="30"/>
        <v>0.2441</v>
      </c>
      <c r="Z15" s="20">
        <f t="shared" si="10"/>
        <v>2.3336</v>
      </c>
      <c r="AA15" s="20">
        <f t="shared" si="30"/>
        <v>0.1953</v>
      </c>
      <c r="AB15" s="20">
        <f t="shared" si="11"/>
        <v>2.5289</v>
      </c>
      <c r="AC15" s="20">
        <f t="shared" si="0"/>
        <v>72544</v>
      </c>
      <c r="AD15" s="20">
        <f t="shared" si="1"/>
        <v>99730</v>
      </c>
      <c r="AE15" s="20">
        <f t="shared" si="2"/>
        <v>107731</v>
      </c>
      <c r="AF15" s="20">
        <f t="shared" si="3"/>
        <v>151580</v>
      </c>
      <c r="AG15" s="20">
        <f t="shared" si="4"/>
        <v>232729</v>
      </c>
      <c r="AH15" s="20">
        <f>INT(AE15*(T15+U15+0.4441+按提示输入属性!D64*0.1953))</f>
        <v>293987</v>
      </c>
      <c r="AI15" s="20">
        <f t="shared" si="12"/>
        <v>86137</v>
      </c>
      <c r="AJ15" s="20">
        <f t="shared" si="13"/>
        <v>201009</v>
      </c>
      <c r="AK15" s="20">
        <f t="shared" si="14"/>
        <v>93047</v>
      </c>
      <c r="AL15" s="20">
        <f t="shared" si="15"/>
        <v>217134</v>
      </c>
      <c r="AM15" s="20">
        <f t="shared" si="16"/>
        <v>252207</v>
      </c>
      <c r="AN15" s="20">
        <f t="shared" si="17"/>
        <v>272440</v>
      </c>
    </row>
    <row r="16" ht="14.25" spans="1:40">
      <c r="A16" s="20" t="s">
        <v>973</v>
      </c>
      <c r="B16" s="20">
        <f t="shared" si="28"/>
        <v>90</v>
      </c>
      <c r="C16" s="20">
        <f>属性计算面板!B2</f>
        <v>34400</v>
      </c>
      <c r="D16" s="20">
        <f>属性计算面板!B3</f>
        <v>45792</v>
      </c>
      <c r="E16" s="48">
        <v>0.854167</v>
      </c>
      <c r="F16" s="47">
        <v>1</v>
      </c>
      <c r="G16" s="50"/>
      <c r="H16" s="50">
        <v>0.7</v>
      </c>
      <c r="I16" s="47">
        <f>I8</f>
        <v>0.05</v>
      </c>
      <c r="J16" s="27">
        <f>属性计算面板!B6</f>
        <v>0.472</v>
      </c>
      <c r="K16" s="27">
        <f>K2</f>
        <v>0.1181</v>
      </c>
      <c r="L16" s="27">
        <f>27550*(1-60%-额外增益统计!L74)/(27550*(1-60%-额外增益统计!L74)+51164.55)</f>
        <v>0.177214436704937</v>
      </c>
      <c r="M16" s="27">
        <f>属性计算面板!B7</f>
        <v>0.3473</v>
      </c>
      <c r="N16" s="27">
        <v>0.2</v>
      </c>
      <c r="O16" s="27">
        <f>属性计算面板!B4</f>
        <v>0.4994</v>
      </c>
      <c r="P16" s="27"/>
      <c r="Q16" s="27">
        <f t="shared" si="5"/>
        <v>0.4994</v>
      </c>
      <c r="R16" s="27">
        <f>R2</f>
        <v>0.2441</v>
      </c>
      <c r="S16" s="27">
        <f t="shared" si="6"/>
        <v>0.7435</v>
      </c>
      <c r="T16" s="27">
        <f>属性计算面板!B5</f>
        <v>2.0895</v>
      </c>
      <c r="U16" s="27"/>
      <c r="V16" s="20">
        <f t="shared" si="7"/>
        <v>2.0895</v>
      </c>
      <c r="W16" s="20">
        <f t="shared" ref="W16:AA16" si="31">W2</f>
        <v>0.2441</v>
      </c>
      <c r="X16" s="20">
        <f t="shared" si="9"/>
        <v>2.3336</v>
      </c>
      <c r="Y16" s="20">
        <f t="shared" si="31"/>
        <v>0.2441</v>
      </c>
      <c r="Z16" s="20">
        <f t="shared" si="10"/>
        <v>2.3336</v>
      </c>
      <c r="AA16" s="20">
        <f t="shared" si="31"/>
        <v>0.1953</v>
      </c>
      <c r="AB16" s="20">
        <f t="shared" si="11"/>
        <v>2.5289</v>
      </c>
      <c r="AC16" s="20">
        <f t="shared" si="0"/>
        <v>91351</v>
      </c>
      <c r="AD16" s="20">
        <f t="shared" si="1"/>
        <v>125585</v>
      </c>
      <c r="AE16" s="20">
        <f t="shared" si="2"/>
        <v>135661</v>
      </c>
      <c r="AF16" s="20">
        <f t="shared" si="3"/>
        <v>190877</v>
      </c>
      <c r="AG16" s="20">
        <f t="shared" si="4"/>
        <v>293065</v>
      </c>
      <c r="AH16" s="20">
        <f>INT(AE16*(T16+U16+0.4441+按提示输入属性!D64*0.1953))</f>
        <v>370205</v>
      </c>
      <c r="AI16" s="20">
        <f t="shared" si="12"/>
        <v>108468</v>
      </c>
      <c r="AJ16" s="20">
        <f t="shared" si="13"/>
        <v>253120</v>
      </c>
      <c r="AK16" s="20">
        <f t="shared" si="14"/>
        <v>117171</v>
      </c>
      <c r="AL16" s="20">
        <f t="shared" si="15"/>
        <v>273430</v>
      </c>
      <c r="AM16" s="20">
        <f t="shared" si="16"/>
        <v>317591</v>
      </c>
      <c r="AN16" s="20">
        <f t="shared" si="17"/>
        <v>343073</v>
      </c>
    </row>
    <row r="17" ht="14.25" spans="1:40">
      <c r="A17" s="20" t="s">
        <v>974</v>
      </c>
      <c r="B17" s="20">
        <f t="shared" si="28"/>
        <v>90</v>
      </c>
      <c r="C17" s="20">
        <f>属性计算面板!B2</f>
        <v>34400</v>
      </c>
      <c r="D17" s="20">
        <f>属性计算面板!B3</f>
        <v>45792</v>
      </c>
      <c r="E17" s="48">
        <v>0.854167</v>
      </c>
      <c r="F17" s="47">
        <v>1</v>
      </c>
      <c r="G17" s="50"/>
      <c r="H17" s="50">
        <v>1.05</v>
      </c>
      <c r="I17" s="47">
        <f>I8</f>
        <v>0.05</v>
      </c>
      <c r="J17" s="27">
        <f>属性计算面板!B6</f>
        <v>0.472</v>
      </c>
      <c r="K17" s="27">
        <f>K2</f>
        <v>0.1181</v>
      </c>
      <c r="L17" s="27">
        <f>27550*(1-60%-额外增益统计!L74)/(27550*(1-60%-额外增益统计!L74)+51164.55)</f>
        <v>0.177214436704937</v>
      </c>
      <c r="M17" s="27">
        <f>属性计算面板!B7</f>
        <v>0.3473</v>
      </c>
      <c r="N17" s="27">
        <v>0.2</v>
      </c>
      <c r="O17" s="27">
        <f>属性计算面板!B4</f>
        <v>0.4994</v>
      </c>
      <c r="P17" s="27"/>
      <c r="Q17" s="27">
        <f t="shared" si="5"/>
        <v>0.4994</v>
      </c>
      <c r="R17" s="27">
        <f>R2</f>
        <v>0.2441</v>
      </c>
      <c r="S17" s="27">
        <f t="shared" si="6"/>
        <v>0.7435</v>
      </c>
      <c r="T17" s="27">
        <f>属性计算面板!B5</f>
        <v>2.0895</v>
      </c>
      <c r="U17" s="27"/>
      <c r="V17" s="20">
        <f t="shared" si="7"/>
        <v>2.0895</v>
      </c>
      <c r="W17" s="20">
        <f t="shared" ref="W17:AA17" si="32">W2</f>
        <v>0.2441</v>
      </c>
      <c r="X17" s="20">
        <f t="shared" si="9"/>
        <v>2.3336</v>
      </c>
      <c r="Y17" s="20">
        <f t="shared" si="32"/>
        <v>0.2441</v>
      </c>
      <c r="Z17" s="20">
        <f t="shared" si="10"/>
        <v>2.3336</v>
      </c>
      <c r="AA17" s="20">
        <f t="shared" si="32"/>
        <v>0.1953</v>
      </c>
      <c r="AB17" s="20">
        <f t="shared" si="11"/>
        <v>2.5289</v>
      </c>
      <c r="AC17" s="20">
        <f t="shared" si="0"/>
        <v>110159</v>
      </c>
      <c r="AD17" s="20">
        <f t="shared" si="1"/>
        <v>151441</v>
      </c>
      <c r="AE17" s="20">
        <f t="shared" si="2"/>
        <v>163592</v>
      </c>
      <c r="AF17" s="20">
        <f t="shared" si="3"/>
        <v>230177</v>
      </c>
      <c r="AG17" s="20">
        <f t="shared" si="4"/>
        <v>353402</v>
      </c>
      <c r="AH17" s="20">
        <f>INT(AE17*(T17+U17+0.4441+按提示输入属性!D64*0.1953))</f>
        <v>446426</v>
      </c>
      <c r="AI17" s="20">
        <f t="shared" si="12"/>
        <v>130800</v>
      </c>
      <c r="AJ17" s="20">
        <f t="shared" si="13"/>
        <v>305234</v>
      </c>
      <c r="AK17" s="20">
        <f t="shared" si="14"/>
        <v>141295</v>
      </c>
      <c r="AL17" s="20">
        <f t="shared" si="15"/>
        <v>329726</v>
      </c>
      <c r="AM17" s="20">
        <f t="shared" si="16"/>
        <v>382979</v>
      </c>
      <c r="AN17" s="20">
        <f t="shared" si="17"/>
        <v>413707</v>
      </c>
    </row>
    <row r="18" ht="14.25" spans="1:40">
      <c r="A18" s="20" t="s">
        <v>975</v>
      </c>
      <c r="B18" s="20">
        <f t="shared" si="28"/>
        <v>90</v>
      </c>
      <c r="C18" s="20">
        <f>属性计算面板!B2</f>
        <v>34400</v>
      </c>
      <c r="D18" s="20">
        <f>属性计算面板!B3</f>
        <v>45792</v>
      </c>
      <c r="E18" s="48">
        <v>0.854167</v>
      </c>
      <c r="F18" s="47">
        <v>1</v>
      </c>
      <c r="G18" s="50"/>
      <c r="H18" s="50">
        <v>1.4</v>
      </c>
      <c r="I18" s="47">
        <f>I8</f>
        <v>0.05</v>
      </c>
      <c r="J18" s="27">
        <f>属性计算面板!B6</f>
        <v>0.472</v>
      </c>
      <c r="K18" s="27">
        <f>K2</f>
        <v>0.1181</v>
      </c>
      <c r="L18" s="27">
        <f>27550*(1-60%-额外增益统计!L74)/(27550*(1-60%-额外增益统计!L74)+51164.55)</f>
        <v>0.177214436704937</v>
      </c>
      <c r="M18" s="27">
        <f>属性计算面板!B7</f>
        <v>0.3473</v>
      </c>
      <c r="N18" s="27">
        <v>0.2</v>
      </c>
      <c r="O18" s="27">
        <f>属性计算面板!B4</f>
        <v>0.4994</v>
      </c>
      <c r="P18" s="27"/>
      <c r="Q18" s="27">
        <f t="shared" si="5"/>
        <v>0.4994</v>
      </c>
      <c r="R18" s="27">
        <f>R2</f>
        <v>0.2441</v>
      </c>
      <c r="S18" s="27">
        <f t="shared" si="6"/>
        <v>0.7435</v>
      </c>
      <c r="T18" s="27">
        <f>属性计算面板!B5</f>
        <v>2.0895</v>
      </c>
      <c r="U18" s="27"/>
      <c r="V18" s="20">
        <f t="shared" si="7"/>
        <v>2.0895</v>
      </c>
      <c r="W18" s="20">
        <f t="shared" ref="W18:AA18" si="33">W2</f>
        <v>0.2441</v>
      </c>
      <c r="X18" s="20">
        <f t="shared" si="9"/>
        <v>2.3336</v>
      </c>
      <c r="Y18" s="20">
        <f t="shared" si="33"/>
        <v>0.2441</v>
      </c>
      <c r="Z18" s="20">
        <f t="shared" si="10"/>
        <v>2.3336</v>
      </c>
      <c r="AA18" s="20">
        <f t="shared" si="33"/>
        <v>0.1953</v>
      </c>
      <c r="AB18" s="20">
        <f t="shared" si="11"/>
        <v>2.5289</v>
      </c>
      <c r="AC18" s="20">
        <f t="shared" si="0"/>
        <v>128967</v>
      </c>
      <c r="AD18" s="20">
        <f t="shared" si="1"/>
        <v>177297</v>
      </c>
      <c r="AE18" s="20">
        <f t="shared" si="2"/>
        <v>191522</v>
      </c>
      <c r="AF18" s="20">
        <f t="shared" si="3"/>
        <v>269476</v>
      </c>
      <c r="AG18" s="20">
        <f t="shared" si="4"/>
        <v>413740</v>
      </c>
      <c r="AH18" s="20">
        <f>INT(AE18*(T18+U18+0.4441+按提示输入属性!D64*0.1953))</f>
        <v>522644</v>
      </c>
      <c r="AI18" s="20">
        <f t="shared" si="12"/>
        <v>153132</v>
      </c>
      <c r="AJ18" s="20">
        <f t="shared" si="13"/>
        <v>357348</v>
      </c>
      <c r="AK18" s="20">
        <f t="shared" si="14"/>
        <v>165418</v>
      </c>
      <c r="AL18" s="20">
        <f t="shared" si="15"/>
        <v>386019</v>
      </c>
      <c r="AM18" s="20">
        <f t="shared" si="16"/>
        <v>448366</v>
      </c>
      <c r="AN18" s="20">
        <f t="shared" si="17"/>
        <v>484339</v>
      </c>
    </row>
    <row r="19" ht="14.25" spans="1:40">
      <c r="A19" s="20" t="s">
        <v>976</v>
      </c>
      <c r="B19" s="20">
        <v>0</v>
      </c>
      <c r="D19" s="20">
        <f>属性计算面板!B8</f>
        <v>21804</v>
      </c>
      <c r="E19" s="46">
        <f>13.192*0.83</f>
        <v>10.94936</v>
      </c>
      <c r="F19" s="47">
        <v>1</v>
      </c>
      <c r="G19" s="47"/>
      <c r="H19" s="47"/>
      <c r="I19" s="47">
        <f>I8</f>
        <v>0.05</v>
      </c>
      <c r="J19" s="27">
        <f>属性计算面板!B6</f>
        <v>0.472</v>
      </c>
      <c r="K19" s="27">
        <f>K2</f>
        <v>0.1181</v>
      </c>
      <c r="L19" s="27">
        <f>27550*(1-60%-额外增益统计!L74)/(27550*(1-60%-额外增益统计!L74)+51164.55)</f>
        <v>0.177214436704937</v>
      </c>
      <c r="M19" s="27">
        <f>属性计算面板!B7</f>
        <v>0.3473</v>
      </c>
      <c r="N19" s="27">
        <v>0.2</v>
      </c>
      <c r="O19" s="27">
        <f>属性计算面板!B4</f>
        <v>0.4994</v>
      </c>
      <c r="P19" s="27">
        <v>0</v>
      </c>
      <c r="Q19" s="27">
        <f t="shared" si="5"/>
        <v>0.4994</v>
      </c>
      <c r="R19" s="27">
        <f>R2</f>
        <v>0.2441</v>
      </c>
      <c r="S19" s="27">
        <f t="shared" si="6"/>
        <v>0.7435</v>
      </c>
      <c r="T19" s="27">
        <f>属性计算面板!B5</f>
        <v>2.0895</v>
      </c>
      <c r="V19" s="20">
        <f t="shared" si="7"/>
        <v>2.0895</v>
      </c>
      <c r="W19" s="20">
        <f t="shared" ref="W19:AA19" si="34">W2</f>
        <v>0.2441</v>
      </c>
      <c r="X19" s="20">
        <f t="shared" si="9"/>
        <v>2.3336</v>
      </c>
      <c r="Y19" s="20">
        <f t="shared" si="34"/>
        <v>0.2441</v>
      </c>
      <c r="Z19" s="20">
        <f t="shared" si="10"/>
        <v>2.3336</v>
      </c>
      <c r="AA19" s="20">
        <f t="shared" si="34"/>
        <v>0.1953</v>
      </c>
      <c r="AB19" s="20">
        <f t="shared" si="11"/>
        <v>2.5289</v>
      </c>
      <c r="AC19" s="20">
        <f t="shared" si="0"/>
        <v>327236</v>
      </c>
      <c r="AD19" s="20">
        <f t="shared" si="1"/>
        <v>327237</v>
      </c>
      <c r="AE19" s="20">
        <f t="shared" si="2"/>
        <v>353492</v>
      </c>
      <c r="AF19" s="20">
        <f t="shared" si="3"/>
        <v>683759</v>
      </c>
      <c r="AG19" s="20">
        <f t="shared" si="4"/>
        <v>763640</v>
      </c>
      <c r="AH19" s="20">
        <f>INT(AE19*(T19+U19+0.4441))</f>
        <v>895607</v>
      </c>
      <c r="AI19" s="20">
        <f t="shared" si="12"/>
        <v>327237</v>
      </c>
      <c r="AJ19" s="20">
        <f t="shared" si="13"/>
        <v>763640</v>
      </c>
      <c r="AK19" s="20">
        <f t="shared" si="14"/>
        <v>353492</v>
      </c>
      <c r="AL19" s="20">
        <f t="shared" si="15"/>
        <v>824908</v>
      </c>
      <c r="AM19" s="20">
        <f t="shared" si="16"/>
        <v>827549</v>
      </c>
      <c r="AN19" s="20">
        <f t="shared" si="17"/>
        <v>893945</v>
      </c>
    </row>
    <row r="20" ht="14.25" spans="1:40">
      <c r="A20" s="20" t="s">
        <v>977</v>
      </c>
      <c r="B20" s="20">
        <v>0</v>
      </c>
      <c r="D20" s="20">
        <f>属性计算面板!B8</f>
        <v>21804</v>
      </c>
      <c r="E20" s="46">
        <f>13.192*0.3</f>
        <v>3.9576</v>
      </c>
      <c r="F20" s="47">
        <v>1</v>
      </c>
      <c r="G20" s="47"/>
      <c r="H20" s="47"/>
      <c r="I20" s="47">
        <f>I8</f>
        <v>0.05</v>
      </c>
      <c r="J20" s="27">
        <f>属性计算面板!B6</f>
        <v>0.472</v>
      </c>
      <c r="K20" s="27">
        <f>K2</f>
        <v>0.1181</v>
      </c>
      <c r="L20" s="27">
        <f>27550*(1-60%-额外增益统计!L74)/(27550*(1-60%-额外增益统计!L74)+51164.55)</f>
        <v>0.177214436704937</v>
      </c>
      <c r="M20" s="27">
        <f>属性计算面板!B7</f>
        <v>0.3473</v>
      </c>
      <c r="N20" s="27">
        <v>0.2</v>
      </c>
      <c r="O20" s="27">
        <f>属性计算面板!B4</f>
        <v>0.4994</v>
      </c>
      <c r="P20" s="27">
        <v>0</v>
      </c>
      <c r="Q20" s="27">
        <f t="shared" si="5"/>
        <v>0.4994</v>
      </c>
      <c r="R20" s="27">
        <f>R2</f>
        <v>0.2441</v>
      </c>
      <c r="S20" s="27">
        <f t="shared" si="6"/>
        <v>0.7435</v>
      </c>
      <c r="T20" s="27">
        <f>属性计算面板!B5</f>
        <v>2.0895</v>
      </c>
      <c r="U20" s="27"/>
      <c r="V20" s="20">
        <f t="shared" ref="V20:V32" si="35">MIN(T20+U20,3)</f>
        <v>2.0895</v>
      </c>
      <c r="W20" s="20">
        <f t="shared" ref="W20:AA20" si="36">W2</f>
        <v>0.2441</v>
      </c>
      <c r="X20" s="20">
        <f t="shared" ref="X20:X32" si="37">MIN(V20+W20,3)</f>
        <v>2.3336</v>
      </c>
      <c r="Y20" s="20">
        <f t="shared" si="36"/>
        <v>0.2441</v>
      </c>
      <c r="Z20" s="20">
        <f t="shared" ref="Z20:Z32" si="38">MIN(V20+Y20,3)</f>
        <v>2.3336</v>
      </c>
      <c r="AA20" s="20">
        <f t="shared" si="36"/>
        <v>0.1953</v>
      </c>
      <c r="AB20" s="20">
        <f t="shared" si="11"/>
        <v>2.5289</v>
      </c>
      <c r="AC20" s="20">
        <f t="shared" ref="AC20:AC32" si="39">INT(INT(B20+D20*E20)*F20*(1+G20+H20)*(1+I20)*(1+J20)*(1-L20)*(1+M20)*(1-N20))</f>
        <v>118277</v>
      </c>
      <c r="AD20" s="20">
        <f t="shared" ref="AD20:AD32" si="40">INT((B20+(D20+C20*50%)*E20)*F20*(1+G20+H20)*(1+I20)*(1+J20)*(1-L20)*(1+M20)*(1-N20))</f>
        <v>118278</v>
      </c>
      <c r="AE20" s="20">
        <f t="shared" ref="AE20:AE32" si="41">INT((B20+(D20+C20*50%)*E20)*F20*(1+G20+H20)*(1+I20)*(1+J20+K20)*(1-L20)*(1+M20)*(1-N20))</f>
        <v>127768</v>
      </c>
      <c r="AF20" s="20">
        <f t="shared" ref="AF20:AF32" si="42">INT(AC20*V20)</f>
        <v>247139</v>
      </c>
      <c r="AG20" s="20">
        <f t="shared" ref="AG20:AG32" si="43">INT(AD20*Z20)</f>
        <v>276013</v>
      </c>
      <c r="AH20" s="20">
        <f t="shared" ref="AH20:AH32" si="44">INT(AE20*(T20+U20+0.4441))</f>
        <v>323713</v>
      </c>
      <c r="AI20" s="20">
        <f t="shared" si="12"/>
        <v>118278</v>
      </c>
      <c r="AJ20" s="20">
        <f t="shared" si="13"/>
        <v>276013</v>
      </c>
      <c r="AK20" s="20">
        <f t="shared" si="14"/>
        <v>127768</v>
      </c>
      <c r="AL20" s="20">
        <f t="shared" si="15"/>
        <v>298159</v>
      </c>
      <c r="AM20" s="20">
        <f t="shared" si="16"/>
        <v>299113</v>
      </c>
      <c r="AN20" s="20">
        <f t="shared" si="17"/>
        <v>323112</v>
      </c>
    </row>
    <row r="21" ht="14.25" spans="1:40">
      <c r="A21" s="20" t="s">
        <v>978</v>
      </c>
      <c r="B21" s="20">
        <v>0</v>
      </c>
      <c r="D21" s="20">
        <f>属性计算面板!B8</f>
        <v>21804</v>
      </c>
      <c r="E21" s="46">
        <f>13.192*0.6</f>
        <v>7.9152</v>
      </c>
      <c r="F21" s="47">
        <v>1</v>
      </c>
      <c r="G21" s="50"/>
      <c r="H21" s="50"/>
      <c r="I21" s="47">
        <f>I8</f>
        <v>0.05</v>
      </c>
      <c r="J21" s="27">
        <f>属性计算面板!B6</f>
        <v>0.472</v>
      </c>
      <c r="K21" s="27">
        <f>K2</f>
        <v>0.1181</v>
      </c>
      <c r="L21" s="27">
        <f>27550*(1-60%-额外增益统计!L74)/(27550*(1-60%-额外增益统计!L74)+51164.55)</f>
        <v>0.177214436704937</v>
      </c>
      <c r="M21" s="27">
        <f>属性计算面板!B7</f>
        <v>0.3473</v>
      </c>
      <c r="N21" s="27">
        <v>0.2</v>
      </c>
      <c r="O21" s="27">
        <f>属性计算面板!B4</f>
        <v>0.4994</v>
      </c>
      <c r="P21" s="27">
        <v>0</v>
      </c>
      <c r="Q21" s="27">
        <f t="shared" si="5"/>
        <v>0.4994</v>
      </c>
      <c r="R21" s="27">
        <f>R2</f>
        <v>0.2441</v>
      </c>
      <c r="S21" s="27">
        <f t="shared" si="6"/>
        <v>0.7435</v>
      </c>
      <c r="T21" s="27">
        <f>属性计算面板!B5</f>
        <v>2.0895</v>
      </c>
      <c r="U21" s="27"/>
      <c r="V21" s="20">
        <f t="shared" si="35"/>
        <v>2.0895</v>
      </c>
      <c r="W21" s="20">
        <f t="shared" ref="W21:AA21" si="45">W2</f>
        <v>0.2441</v>
      </c>
      <c r="X21" s="20">
        <f t="shared" si="37"/>
        <v>2.3336</v>
      </c>
      <c r="Y21" s="20">
        <f t="shared" si="45"/>
        <v>0.2441</v>
      </c>
      <c r="Z21" s="20">
        <f t="shared" si="38"/>
        <v>2.3336</v>
      </c>
      <c r="AA21" s="20">
        <f t="shared" si="45"/>
        <v>0.1953</v>
      </c>
      <c r="AB21" s="20">
        <f t="shared" si="11"/>
        <v>2.5289</v>
      </c>
      <c r="AC21" s="20">
        <f t="shared" si="39"/>
        <v>236557</v>
      </c>
      <c r="AD21" s="20">
        <f t="shared" si="40"/>
        <v>236557</v>
      </c>
      <c r="AE21" s="20">
        <f t="shared" si="41"/>
        <v>255536</v>
      </c>
      <c r="AF21" s="20">
        <f t="shared" si="42"/>
        <v>494285</v>
      </c>
      <c r="AG21" s="20">
        <f t="shared" si="43"/>
        <v>552029</v>
      </c>
      <c r="AH21" s="20">
        <f t="shared" si="44"/>
        <v>647426</v>
      </c>
      <c r="AI21" s="20">
        <f t="shared" si="12"/>
        <v>236557</v>
      </c>
      <c r="AJ21" s="20">
        <f t="shared" si="13"/>
        <v>552029</v>
      </c>
      <c r="AK21" s="20">
        <f t="shared" si="14"/>
        <v>255536</v>
      </c>
      <c r="AL21" s="20">
        <f t="shared" si="15"/>
        <v>596318</v>
      </c>
      <c r="AM21" s="20">
        <f t="shared" si="16"/>
        <v>598228</v>
      </c>
      <c r="AN21" s="20">
        <f t="shared" si="17"/>
        <v>646224</v>
      </c>
    </row>
    <row r="22" ht="14.25" spans="1:40">
      <c r="A22" s="20" t="s">
        <v>979</v>
      </c>
      <c r="B22" s="20">
        <f>INT(78+7/2)</f>
        <v>81</v>
      </c>
      <c r="C22" s="20">
        <f>属性计算面板!B2</f>
        <v>34400</v>
      </c>
      <c r="D22" s="20">
        <f>属性计算面板!B3</f>
        <v>45792</v>
      </c>
      <c r="E22" s="48">
        <v>0.08</v>
      </c>
      <c r="F22" s="47">
        <v>1</v>
      </c>
      <c r="G22" s="50"/>
      <c r="H22" s="50"/>
      <c r="I22" s="47">
        <f>I8</f>
        <v>0.05</v>
      </c>
      <c r="J22" s="27">
        <f>属性计算面板!B6</f>
        <v>0.472</v>
      </c>
      <c r="K22" s="27">
        <f>K2</f>
        <v>0.1181</v>
      </c>
      <c r="L22" s="27">
        <f>27550*(1-60%-额外增益统计!L74)/(27550*(1-60%-额外增益统计!L74)+51164.55)</f>
        <v>0.177214436704937</v>
      </c>
      <c r="M22" s="27">
        <f>属性计算面板!B7</f>
        <v>0.3473</v>
      </c>
      <c r="N22" s="27">
        <v>0.2</v>
      </c>
      <c r="O22" s="27">
        <f>属性计算面板!B4</f>
        <v>0.4994</v>
      </c>
      <c r="P22" s="27"/>
      <c r="Q22" s="27">
        <f t="shared" si="5"/>
        <v>0.4994</v>
      </c>
      <c r="R22" s="27">
        <f>R2</f>
        <v>0.2441</v>
      </c>
      <c r="S22" s="27">
        <f t="shared" si="6"/>
        <v>0.7435</v>
      </c>
      <c r="T22" s="27">
        <f>属性计算面板!B5</f>
        <v>2.0895</v>
      </c>
      <c r="U22" s="27"/>
      <c r="V22" s="20">
        <f t="shared" si="35"/>
        <v>2.0895</v>
      </c>
      <c r="W22" s="20">
        <f t="shared" ref="W22:AA22" si="46">W2</f>
        <v>0.2441</v>
      </c>
      <c r="X22" s="20">
        <f t="shared" si="37"/>
        <v>2.3336</v>
      </c>
      <c r="Y22" s="20">
        <f t="shared" si="46"/>
        <v>0.2441</v>
      </c>
      <c r="Z22" s="20">
        <f t="shared" si="38"/>
        <v>2.3336</v>
      </c>
      <c r="AA22" s="20">
        <f t="shared" si="46"/>
        <v>0.1953</v>
      </c>
      <c r="AB22" s="20">
        <f t="shared" si="11"/>
        <v>2.5289</v>
      </c>
      <c r="AC22" s="20">
        <f t="shared" si="39"/>
        <v>5131</v>
      </c>
      <c r="AD22" s="20">
        <f t="shared" si="40"/>
        <v>7018</v>
      </c>
      <c r="AE22" s="20">
        <f t="shared" si="41"/>
        <v>7581</v>
      </c>
      <c r="AF22" s="20">
        <f t="shared" si="42"/>
        <v>10721</v>
      </c>
      <c r="AG22" s="20">
        <f t="shared" si="43"/>
        <v>16377</v>
      </c>
      <c r="AH22" s="20">
        <f t="shared" si="44"/>
        <v>19207</v>
      </c>
      <c r="AI22" s="20">
        <f t="shared" si="12"/>
        <v>6075</v>
      </c>
      <c r="AJ22" s="20">
        <f t="shared" si="13"/>
        <v>14176</v>
      </c>
      <c r="AK22" s="20">
        <f t="shared" si="14"/>
        <v>6562</v>
      </c>
      <c r="AL22" s="20">
        <f t="shared" si="15"/>
        <v>15313</v>
      </c>
      <c r="AM22" s="20">
        <f t="shared" si="16"/>
        <v>17747</v>
      </c>
      <c r="AN22" s="20">
        <f t="shared" si="17"/>
        <v>19171</v>
      </c>
    </row>
    <row r="23" ht="14.25" spans="1:40">
      <c r="A23" s="20" t="s">
        <v>364</v>
      </c>
      <c r="B23" s="20">
        <f>INT(33+5/2)</f>
        <v>35</v>
      </c>
      <c r="C23" s="20">
        <f>属性计算面板!B2</f>
        <v>34400</v>
      </c>
      <c r="D23" s="20">
        <f>属性计算面板!B3</f>
        <v>45792</v>
      </c>
      <c r="E23" s="48">
        <v>1.625</v>
      </c>
      <c r="F23" s="47">
        <v>1</v>
      </c>
      <c r="G23" s="50"/>
      <c r="H23" s="50"/>
      <c r="I23" s="47">
        <f>I8</f>
        <v>0.05</v>
      </c>
      <c r="J23" s="27">
        <f>属性计算面板!B6</f>
        <v>0.472</v>
      </c>
      <c r="K23" s="27">
        <f>K2</f>
        <v>0.1181</v>
      </c>
      <c r="L23" s="27">
        <f>27550*(1-60%-额外增益统计!L74)/(27550*(1-60%-额外增益统计!L74)+51164.55)</f>
        <v>0.177214436704937</v>
      </c>
      <c r="M23" s="27">
        <f>属性计算面板!B7</f>
        <v>0.3473</v>
      </c>
      <c r="N23" s="27">
        <v>0.2</v>
      </c>
      <c r="O23" s="27">
        <f>属性计算面板!B4</f>
        <v>0.4994</v>
      </c>
      <c r="P23" s="27"/>
      <c r="Q23" s="27">
        <f t="shared" si="5"/>
        <v>0.4994</v>
      </c>
      <c r="R23" s="27">
        <f>R2</f>
        <v>0.2441</v>
      </c>
      <c r="S23" s="27">
        <f t="shared" si="6"/>
        <v>0.7435</v>
      </c>
      <c r="T23" s="27">
        <f>属性计算面板!B5</f>
        <v>2.0895</v>
      </c>
      <c r="U23" s="27"/>
      <c r="V23" s="20">
        <f t="shared" si="35"/>
        <v>2.0895</v>
      </c>
      <c r="W23" s="20">
        <f t="shared" ref="W23:AA23" si="47">W2</f>
        <v>0.2441</v>
      </c>
      <c r="X23" s="20">
        <f t="shared" si="37"/>
        <v>2.3336</v>
      </c>
      <c r="Y23" s="20">
        <f t="shared" si="47"/>
        <v>0.2441</v>
      </c>
      <c r="Z23" s="20">
        <f t="shared" si="38"/>
        <v>2.3336</v>
      </c>
      <c r="AA23" s="20">
        <f t="shared" si="47"/>
        <v>0.1953</v>
      </c>
      <c r="AB23" s="20">
        <f t="shared" si="11"/>
        <v>2.5289</v>
      </c>
      <c r="AC23" s="20">
        <f t="shared" si="39"/>
        <v>102043</v>
      </c>
      <c r="AD23" s="20">
        <f t="shared" si="40"/>
        <v>140354</v>
      </c>
      <c r="AE23" s="20">
        <f t="shared" si="41"/>
        <v>151614</v>
      </c>
      <c r="AF23" s="20">
        <f t="shared" si="42"/>
        <v>213218</v>
      </c>
      <c r="AG23" s="20">
        <f t="shared" si="43"/>
        <v>327530</v>
      </c>
      <c r="AH23" s="20">
        <f t="shared" si="44"/>
        <v>384129</v>
      </c>
      <c r="AI23" s="20">
        <f t="shared" si="12"/>
        <v>121198</v>
      </c>
      <c r="AJ23" s="20">
        <f t="shared" si="13"/>
        <v>282827</v>
      </c>
      <c r="AK23" s="20">
        <f t="shared" si="14"/>
        <v>130922</v>
      </c>
      <c r="AL23" s="20">
        <f t="shared" si="15"/>
        <v>305519</v>
      </c>
      <c r="AM23" s="20">
        <f t="shared" si="16"/>
        <v>354941</v>
      </c>
      <c r="AN23" s="20">
        <f t="shared" si="17"/>
        <v>383416</v>
      </c>
    </row>
    <row r="24" ht="14.25" spans="1:40">
      <c r="A24" s="20" t="s">
        <v>980</v>
      </c>
      <c r="B24" s="20">
        <f>INT(40+17/2)</f>
        <v>48</v>
      </c>
      <c r="C24" s="20">
        <f>属性计算面板!B2</f>
        <v>34400</v>
      </c>
      <c r="D24" s="20">
        <f>属性计算面板!B3</f>
        <v>45792</v>
      </c>
      <c r="E24" s="20">
        <v>0.260417</v>
      </c>
      <c r="F24" s="47">
        <v>1</v>
      </c>
      <c r="G24" s="27"/>
      <c r="H24" s="27"/>
      <c r="I24" s="47">
        <f>I8</f>
        <v>0.05</v>
      </c>
      <c r="J24" s="27">
        <f>属性计算面板!B6</f>
        <v>0.472</v>
      </c>
      <c r="K24" s="27">
        <f>K2</f>
        <v>0.1181</v>
      </c>
      <c r="L24" s="27">
        <f>27550*(1-60%-额外增益统计!L74)/(27550*(1-60%-额外增益统计!L74)+51164.55)</f>
        <v>0.177214436704937</v>
      </c>
      <c r="M24" s="27">
        <f>属性计算面板!B7</f>
        <v>0.3473</v>
      </c>
      <c r="N24" s="27">
        <v>0.2</v>
      </c>
      <c r="O24" s="27">
        <f>属性计算面板!B4</f>
        <v>0.4994</v>
      </c>
      <c r="P24" s="27"/>
      <c r="Q24" s="27">
        <f t="shared" si="5"/>
        <v>0.4994</v>
      </c>
      <c r="R24" s="27">
        <f>R2</f>
        <v>0.2441</v>
      </c>
      <c r="S24" s="27">
        <f t="shared" si="6"/>
        <v>0.7435</v>
      </c>
      <c r="T24" s="27">
        <f>属性计算面板!B5</f>
        <v>2.0895</v>
      </c>
      <c r="U24" s="27"/>
      <c r="V24" s="20">
        <f t="shared" si="35"/>
        <v>2.0895</v>
      </c>
      <c r="W24" s="20">
        <f t="shared" ref="W24:AA24" si="48">W2</f>
        <v>0.2441</v>
      </c>
      <c r="X24" s="20">
        <f t="shared" si="37"/>
        <v>2.3336</v>
      </c>
      <c r="Y24" s="20">
        <f t="shared" si="48"/>
        <v>0.2441</v>
      </c>
      <c r="Z24" s="20">
        <f t="shared" si="38"/>
        <v>2.3336</v>
      </c>
      <c r="AA24" s="20">
        <f t="shared" si="48"/>
        <v>0.1953</v>
      </c>
      <c r="AB24" s="20">
        <f t="shared" si="11"/>
        <v>2.5289</v>
      </c>
      <c r="AC24" s="20">
        <f>INT(INT(B24+D24*E24)*F24*(1+G24+H24)*(1+I24)*(1+J24)*(1-L24)*(1+M24)*(1-N24))*额外增益统计!E157+INT(INT(96900)*(1-N24))*额外增益统计!D157</f>
        <v>16411</v>
      </c>
      <c r="AD24" s="20">
        <f>INT((B24+(D24+C24*50%)*E24)*F24*(1+G24+H24)*(1+I24)*(1+J24)*(1-L24)*(1+M24)*(1-N24)*额外增益统计!E157+INT(INT(96900)*(1-N24))*额外增益统计!D157)</f>
        <v>22550</v>
      </c>
      <c r="AE24" s="20">
        <f>INT((B24+(D24+C24*50%)*E24)*F24*(1+G24+H24)*(1+I24)*(1+J24+K24)*(1-L24)*(1+M24)*(1-N24))*额外增益统计!E157+INT(INT(96900)*(1-N24))*额外增益统计!D157</f>
        <v>24360</v>
      </c>
      <c r="AF24" s="20">
        <f>INT(AC24*V24)*额外增益统计!E157+INT(INT(96900)*(1-N24))*额外增益统计!D157</f>
        <v>34290</v>
      </c>
      <c r="AG24" s="20">
        <f>INT(AD24*Z24)*额外增益统计!E157+INT(INT(96900)*(1-N24))*额外增益统计!D157</f>
        <v>52622</v>
      </c>
      <c r="AH24" s="20">
        <f>INT(AE24*(T24+U24+0.4441))*额外增益统计!E157+INT(INT(96900)*(1-N24))*额外增益统计!D157</f>
        <v>61718</v>
      </c>
      <c r="AI24" s="20">
        <f>INT((B24+(D24+C24*25%)*E24)*F24*(1+G24+H24)*(1+I24)*(1+J24)*(1-L24)*(1+M24)*(1-N24))*额外增益统计!E157+INT(INT(96900)*(1-N24))*额外增益统计!D157</f>
        <v>19481</v>
      </c>
      <c r="AJ24" s="20">
        <f>INT(AI24*X24)*额外增益统计!E157+INT(INT(96900)*(1-N24))*额外增益统计!D157</f>
        <v>45460</v>
      </c>
      <c r="AK24" s="20">
        <f>INT((B24+(D24+C24*25%)*E24)*F24*(1+G24+H24)*(1+I24)*(1+J24+K24)*(1-L24)*(1+M24)*(1-N24))*额外增益统计!E157+INT(INT(96900)*(1-N24))*额外增益统计!D157</f>
        <v>21043</v>
      </c>
      <c r="AL24" s="20">
        <f>INT(AK24*X24)*额外增益统计!E157+INT(INT(96900)*(1-N24))*额外增益统计!D157</f>
        <v>49105</v>
      </c>
      <c r="AM24" s="20">
        <f>INT(AD24*AB24)*额外增益统计!E157+INT(INT(96900)*(1-N24))*额外增益统计!D157</f>
        <v>57026</v>
      </c>
      <c r="AN24" s="20">
        <f>INT(AE24*AB24)*额外增益统计!E157+INT(INT(96900)*(1-N24))*额外增益统计!D157</f>
        <v>61604</v>
      </c>
    </row>
    <row r="25" ht="14.25" spans="1:40">
      <c r="A25" s="20" t="s">
        <v>981</v>
      </c>
      <c r="B25" s="20">
        <f>INT(40+17/2)</f>
        <v>48</v>
      </c>
      <c r="C25" s="20">
        <f>属性计算面板!B2</f>
        <v>34400</v>
      </c>
      <c r="D25" s="20">
        <f>属性计算面板!B3</f>
        <v>45792</v>
      </c>
      <c r="E25" s="20">
        <v>0.46875</v>
      </c>
      <c r="F25" s="47">
        <v>1</v>
      </c>
      <c r="G25" s="27"/>
      <c r="H25" s="27"/>
      <c r="I25" s="47">
        <f>I8</f>
        <v>0.05</v>
      </c>
      <c r="J25" s="27">
        <f>属性计算面板!B6</f>
        <v>0.472</v>
      </c>
      <c r="K25" s="27">
        <f>K2</f>
        <v>0.1181</v>
      </c>
      <c r="L25" s="27">
        <f>27550*(1-60%-额外增益统计!L74)/(27550*(1-60%-额外增益统计!L74)+51164.55)</f>
        <v>0.177214436704937</v>
      </c>
      <c r="M25" s="27">
        <f>属性计算面板!B7</f>
        <v>0.3473</v>
      </c>
      <c r="N25" s="27">
        <v>0.2</v>
      </c>
      <c r="O25" s="27">
        <f>属性计算面板!B4</f>
        <v>0.4994</v>
      </c>
      <c r="P25" s="27"/>
      <c r="Q25" s="27">
        <f t="shared" si="5"/>
        <v>0.4994</v>
      </c>
      <c r="R25" s="27">
        <f>R2</f>
        <v>0.2441</v>
      </c>
      <c r="S25" s="27">
        <f t="shared" si="6"/>
        <v>0.7435</v>
      </c>
      <c r="T25" s="27">
        <f>属性计算面板!B5</f>
        <v>2.0895</v>
      </c>
      <c r="U25" s="27"/>
      <c r="V25" s="20">
        <f t="shared" si="35"/>
        <v>2.0895</v>
      </c>
      <c r="W25" s="20">
        <f t="shared" ref="W25:AA25" si="49">W2</f>
        <v>0.2441</v>
      </c>
      <c r="X25" s="20">
        <f t="shared" si="37"/>
        <v>2.3336</v>
      </c>
      <c r="Y25" s="20">
        <f t="shared" si="49"/>
        <v>0.2441</v>
      </c>
      <c r="Z25" s="20">
        <f t="shared" si="38"/>
        <v>2.3336</v>
      </c>
      <c r="AA25" s="20">
        <f t="shared" si="49"/>
        <v>0.1953</v>
      </c>
      <c r="AB25" s="20">
        <f t="shared" si="11"/>
        <v>2.5289</v>
      </c>
      <c r="AC25" s="20">
        <f>INT(INT(B25+D25*E25)*F25*(1+G25+H25)*(1+I25)*(1+J25)*(1-L25)*(1+M25)*(1-N25))*额外增益统计!E153+INT(INT(145300)*(1-N25))*额外增益统计!D153</f>
        <v>29487</v>
      </c>
      <c r="AD25" s="20">
        <f>INT((B25+(D25+C25*50%)*E25)*F25*(1+G25+H25)*(1+I25)*(1+J25)*(1-L25)*(1+M25)*(1-N25))*额外增益统计!E153+INT(INT(145300)*(1-N25))*额外增益统计!D153</f>
        <v>40538</v>
      </c>
      <c r="AE25" s="20">
        <f>INT((B25+(D25+C25*50%)*E25)*F25*(1+G25+H25)*(1+I25)*(1+J25+K25)*(1-L25)*(1+M25)*(1-N25))*额外增益统计!E153+INT(INT(145300)*(1-N25))*额外增益统计!D153</f>
        <v>43791</v>
      </c>
      <c r="AF25" s="20">
        <f>INT(AC25*V25)*额外增益统计!E153+INT(INT(145300)*(1-N25))*额外增益统计!D153</f>
        <v>61613</v>
      </c>
      <c r="AG25" s="20">
        <f>INT(AD25*Z25)*额外增益统计!E153+INT(INT(145300)*(1-N25))*额外增益统计!D153</f>
        <v>94599</v>
      </c>
      <c r="AH25" s="20">
        <f>INT(AE25*(T25+U25+0.4441))*额外增益统计!E153+INT(INT(145300)*(1-N25))*额外增益统计!D153</f>
        <v>110948</v>
      </c>
      <c r="AI25" s="20">
        <f>INT((B25+(D25+C25*25%)*E25)*F25*(1+G25+H25)*(1+I25)*(1+J25)*(1-L25)*(1+M25)*(1-N25))*额外增益统计!E153+INT(INT(145300)*(1-N25))*额外增益统计!D153</f>
        <v>35013</v>
      </c>
      <c r="AJ25" s="20">
        <f>INT(AI25*X25)*额外增益统计!E153+INT(INT(145300)*(1-N25))*额外增益统计!D153</f>
        <v>81706</v>
      </c>
      <c r="AK25" s="20">
        <f>INT((B25+(D25+C25*25%)*E25)*F25*(1+G25+H25)*(1+I25)*(1+J25+K25)*(1-L25)*(1+M25)*(1-N25))*额外增益统计!E153+INT(INT(145300)*(1-N25))*额外增益统计!D153</f>
        <v>37822</v>
      </c>
      <c r="AL25" s="20">
        <f>INT(AK25*X25)*额外增益统计!E153+INT(INT(145300)*(1-N25))*额外增益统计!D153</f>
        <v>88261</v>
      </c>
      <c r="AM25" s="20">
        <f>INT(AD25*AB25)*额外增益统计!E153+INT(INT(145300)*(1-N25))*额外增益统计!D153</f>
        <v>102516</v>
      </c>
      <c r="AN25" s="20">
        <f>INT(AE25*AB25)*额外增益统计!E153+INT(INT(145300)*(1-N25))*额外增益统计!D153</f>
        <v>110743</v>
      </c>
    </row>
    <row r="26" ht="14.25" spans="1:40">
      <c r="A26" s="20" t="s">
        <v>72</v>
      </c>
      <c r="B26" s="20">
        <v>550865</v>
      </c>
      <c r="C26" s="20">
        <f>属性计算面板!B2</f>
        <v>34400</v>
      </c>
      <c r="D26" s="20">
        <v>0</v>
      </c>
      <c r="E26" s="20">
        <v>1</v>
      </c>
      <c r="F26" s="47">
        <v>1</v>
      </c>
      <c r="I26" s="47">
        <f>I8</f>
        <v>0.05</v>
      </c>
      <c r="J26" s="27">
        <f>属性计算面板!B6</f>
        <v>0.472</v>
      </c>
      <c r="K26" s="27">
        <f>K2</f>
        <v>0.1181</v>
      </c>
      <c r="L26" s="20">
        <f>27550*(1-60%-额外增益统计!L74)/(27550*(1-60%-额外增益统计!L74)+51164.55)</f>
        <v>0.177214436704937</v>
      </c>
      <c r="M26" s="20">
        <f>属性计算面板!B7</f>
        <v>0.3473</v>
      </c>
      <c r="N26" s="27">
        <v>0.2</v>
      </c>
      <c r="O26" s="27">
        <f>属性计算面板!B4</f>
        <v>0.4994</v>
      </c>
      <c r="P26" s="27"/>
      <c r="Q26" s="27">
        <f t="shared" si="5"/>
        <v>0.4994</v>
      </c>
      <c r="R26" s="27">
        <f>R2</f>
        <v>0.2441</v>
      </c>
      <c r="S26" s="27">
        <f t="shared" si="6"/>
        <v>0.7435</v>
      </c>
      <c r="T26" s="20">
        <f>属性计算面板!B5</f>
        <v>2.0895</v>
      </c>
      <c r="V26" s="20">
        <f t="shared" si="35"/>
        <v>2.0895</v>
      </c>
      <c r="W26" s="20">
        <f t="shared" ref="W26:AA26" si="50">W2</f>
        <v>0.2441</v>
      </c>
      <c r="X26" s="20">
        <f t="shared" si="37"/>
        <v>2.3336</v>
      </c>
      <c r="Y26" s="20">
        <f t="shared" si="50"/>
        <v>0.2441</v>
      </c>
      <c r="Z26" s="20">
        <f t="shared" si="38"/>
        <v>2.3336</v>
      </c>
      <c r="AA26" s="20">
        <f t="shared" si="50"/>
        <v>0.1953</v>
      </c>
      <c r="AB26" s="20">
        <f t="shared" si="11"/>
        <v>2.5289</v>
      </c>
      <c r="AC26" s="20">
        <f t="shared" si="39"/>
        <v>755063</v>
      </c>
      <c r="AD26" s="20">
        <f t="shared" si="40"/>
        <v>778638</v>
      </c>
      <c r="AE26" s="20">
        <f t="shared" si="41"/>
        <v>841109</v>
      </c>
      <c r="AF26" s="20">
        <f t="shared" si="42"/>
        <v>1577704</v>
      </c>
      <c r="AG26" s="20">
        <f t="shared" si="43"/>
        <v>1817029</v>
      </c>
      <c r="AH26" s="20">
        <f t="shared" si="44"/>
        <v>2131033</v>
      </c>
      <c r="AI26" s="20">
        <f t="shared" si="12"/>
        <v>766851</v>
      </c>
      <c r="AJ26" s="20">
        <f t="shared" si="13"/>
        <v>1789523</v>
      </c>
      <c r="AK26" s="20">
        <f t="shared" si="14"/>
        <v>828376</v>
      </c>
      <c r="AL26" s="20">
        <f t="shared" si="15"/>
        <v>1933098</v>
      </c>
      <c r="AM26" s="20">
        <f t="shared" si="16"/>
        <v>1969097</v>
      </c>
      <c r="AN26" s="20">
        <f t="shared" si="17"/>
        <v>2127080</v>
      </c>
    </row>
    <row r="27" ht="14.25" spans="1:40">
      <c r="A27" s="20" t="s">
        <v>70</v>
      </c>
      <c r="B27" s="20">
        <v>568199</v>
      </c>
      <c r="C27" s="20">
        <f>属性计算面板!B2</f>
        <v>34400</v>
      </c>
      <c r="D27" s="20">
        <v>0</v>
      </c>
      <c r="E27" s="20">
        <v>1</v>
      </c>
      <c r="F27" s="47">
        <v>1</v>
      </c>
      <c r="I27" s="47">
        <f>I8</f>
        <v>0.05</v>
      </c>
      <c r="J27" s="27">
        <f>属性计算面板!B6</f>
        <v>0.472</v>
      </c>
      <c r="K27" s="27">
        <f>K2</f>
        <v>0.1181</v>
      </c>
      <c r="L27" s="20">
        <f>27550*(1-60%-额外增益统计!L74)/(27550*(1-60%-额外增益统计!L74)+51164.55)</f>
        <v>0.177214436704937</v>
      </c>
      <c r="M27" s="20">
        <f>属性计算面板!B7</f>
        <v>0.3473</v>
      </c>
      <c r="N27" s="27">
        <v>0.2</v>
      </c>
      <c r="O27" s="27">
        <v>1</v>
      </c>
      <c r="P27" s="27"/>
      <c r="Q27" s="27">
        <f t="shared" si="5"/>
        <v>1</v>
      </c>
      <c r="R27" s="27">
        <f>R2</f>
        <v>0.2441</v>
      </c>
      <c r="S27" s="27">
        <f t="shared" si="6"/>
        <v>1</v>
      </c>
      <c r="T27" s="20">
        <f>属性计算面板!B5</f>
        <v>2.0895</v>
      </c>
      <c r="V27" s="20">
        <f t="shared" si="35"/>
        <v>2.0895</v>
      </c>
      <c r="W27" s="20">
        <f t="shared" ref="W27:AA27" si="51">W2</f>
        <v>0.2441</v>
      </c>
      <c r="X27" s="20">
        <f t="shared" si="37"/>
        <v>2.3336</v>
      </c>
      <c r="Y27" s="20">
        <f t="shared" si="51"/>
        <v>0.2441</v>
      </c>
      <c r="Z27" s="20">
        <f t="shared" si="38"/>
        <v>2.3336</v>
      </c>
      <c r="AA27" s="20">
        <f t="shared" si="51"/>
        <v>0.1953</v>
      </c>
      <c r="AB27" s="20">
        <f t="shared" si="11"/>
        <v>2.5289</v>
      </c>
      <c r="AC27" s="20">
        <f t="shared" si="39"/>
        <v>778822</v>
      </c>
      <c r="AD27" s="20">
        <f t="shared" si="40"/>
        <v>802398</v>
      </c>
      <c r="AE27" s="20">
        <f t="shared" si="41"/>
        <v>866775</v>
      </c>
      <c r="AF27" s="20">
        <f t="shared" si="42"/>
        <v>1627348</v>
      </c>
      <c r="AG27" s="20">
        <f t="shared" si="43"/>
        <v>1872475</v>
      </c>
      <c r="AH27" s="20">
        <f t="shared" si="44"/>
        <v>2196061</v>
      </c>
      <c r="AI27" s="20">
        <f t="shared" si="12"/>
        <v>790610</v>
      </c>
      <c r="AJ27" s="20">
        <f t="shared" si="13"/>
        <v>1844967</v>
      </c>
      <c r="AK27" s="20">
        <f t="shared" si="14"/>
        <v>854041</v>
      </c>
      <c r="AL27" s="20">
        <f t="shared" si="15"/>
        <v>1992990</v>
      </c>
      <c r="AM27" s="20">
        <f t="shared" si="16"/>
        <v>2029184</v>
      </c>
      <c r="AN27" s="20">
        <f t="shared" si="17"/>
        <v>2191987</v>
      </c>
    </row>
    <row r="28" ht="14.25" spans="1:40">
      <c r="A28" s="20" t="s">
        <v>982</v>
      </c>
      <c r="B28" s="20">
        <v>141299</v>
      </c>
      <c r="C28" s="20">
        <f>属性计算面板!B2</f>
        <v>34400</v>
      </c>
      <c r="D28" s="20">
        <v>0</v>
      </c>
      <c r="E28" s="20">
        <v>1</v>
      </c>
      <c r="F28" s="20">
        <v>1</v>
      </c>
      <c r="I28" s="47">
        <f>I8</f>
        <v>0.05</v>
      </c>
      <c r="J28" s="27">
        <f>属性计算面板!B6</f>
        <v>0.472</v>
      </c>
      <c r="K28" s="27">
        <f>K2</f>
        <v>0.1181</v>
      </c>
      <c r="L28" s="20">
        <f>27550*(1-60%-额外增益统计!L74)/(27550*(1-60%-额外增益统计!L74)+51164.55)</f>
        <v>0.177214436704937</v>
      </c>
      <c r="M28" s="20">
        <f>属性计算面板!B7</f>
        <v>0.3473</v>
      </c>
      <c r="N28" s="27">
        <v>0.2</v>
      </c>
      <c r="O28" s="27">
        <f>属性计算面板!B4</f>
        <v>0.4994</v>
      </c>
      <c r="P28" s="27"/>
      <c r="Q28" s="27">
        <f t="shared" si="5"/>
        <v>0.4994</v>
      </c>
      <c r="R28" s="27">
        <f>R2</f>
        <v>0.2441</v>
      </c>
      <c r="S28" s="27">
        <f t="shared" si="6"/>
        <v>0.7435</v>
      </c>
      <c r="T28" s="20">
        <f>属性计算面板!B5</f>
        <v>2.0895</v>
      </c>
      <c r="V28" s="20">
        <f t="shared" si="35"/>
        <v>2.0895</v>
      </c>
      <c r="W28" s="20">
        <f t="shared" ref="W28:AA28" si="52">W2</f>
        <v>0.2441</v>
      </c>
      <c r="X28" s="20">
        <f t="shared" si="37"/>
        <v>2.3336</v>
      </c>
      <c r="Y28" s="20">
        <f t="shared" si="52"/>
        <v>0.2441</v>
      </c>
      <c r="Z28" s="20">
        <f t="shared" si="38"/>
        <v>2.3336</v>
      </c>
      <c r="AA28" s="20">
        <f t="shared" si="52"/>
        <v>0.1953</v>
      </c>
      <c r="AB28" s="20">
        <f t="shared" si="11"/>
        <v>2.5289</v>
      </c>
      <c r="AC28" s="20">
        <f t="shared" si="39"/>
        <v>193676</v>
      </c>
      <c r="AD28" s="20">
        <f t="shared" si="40"/>
        <v>217252</v>
      </c>
      <c r="AE28" s="20">
        <f t="shared" si="41"/>
        <v>234682</v>
      </c>
      <c r="AF28" s="20">
        <f t="shared" si="42"/>
        <v>404686</v>
      </c>
      <c r="AG28" s="20">
        <f t="shared" si="43"/>
        <v>506979</v>
      </c>
      <c r="AH28" s="20">
        <f t="shared" si="44"/>
        <v>594590</v>
      </c>
      <c r="AI28" s="20">
        <f t="shared" si="12"/>
        <v>205464</v>
      </c>
      <c r="AJ28" s="20">
        <f t="shared" si="13"/>
        <v>479470</v>
      </c>
      <c r="AK28" s="20">
        <f t="shared" si="14"/>
        <v>221949</v>
      </c>
      <c r="AL28" s="20">
        <f t="shared" si="15"/>
        <v>517940</v>
      </c>
      <c r="AM28" s="20">
        <f t="shared" si="16"/>
        <v>549408</v>
      </c>
      <c r="AN28" s="20">
        <f t="shared" si="17"/>
        <v>593487</v>
      </c>
    </row>
    <row r="29" spans="1:40">
      <c r="A29" s="20" t="s">
        <v>983</v>
      </c>
      <c r="B29" s="20">
        <v>50</v>
      </c>
      <c r="C29" s="20">
        <f>属性计算面板!B2</f>
        <v>34400</v>
      </c>
      <c r="D29" s="20">
        <f>属性计算面板!B3</f>
        <v>45792</v>
      </c>
      <c r="E29" s="20">
        <v>0.5078125</v>
      </c>
      <c r="F29" s="20">
        <v>1</v>
      </c>
      <c r="I29" s="20">
        <f>I8</f>
        <v>0.05</v>
      </c>
      <c r="J29" s="20">
        <f>属性计算面板!B6</f>
        <v>0.472</v>
      </c>
      <c r="K29" s="20">
        <f>K2</f>
        <v>0.1181</v>
      </c>
      <c r="L29" s="20">
        <f>27550*(1-60%-额外增益统计!L74)/(27550*(1-60%-额外增益统计!L74)+51164.55)</f>
        <v>0.177214436704937</v>
      </c>
      <c r="M29" s="20">
        <f>属性计算面板!B7</f>
        <v>0.3473</v>
      </c>
      <c r="N29" s="20">
        <v>0.2</v>
      </c>
      <c r="O29" s="20">
        <f>属性计算面板!B4</f>
        <v>0.4994</v>
      </c>
      <c r="Q29" s="27">
        <f t="shared" si="5"/>
        <v>0.4994</v>
      </c>
      <c r="R29" s="20">
        <f>R2</f>
        <v>0.2441</v>
      </c>
      <c r="S29" s="27">
        <f t="shared" si="6"/>
        <v>0.7435</v>
      </c>
      <c r="T29" s="20">
        <f>属性计算面板!B5</f>
        <v>2.0895</v>
      </c>
      <c r="V29" s="20">
        <f t="shared" si="35"/>
        <v>2.0895</v>
      </c>
      <c r="W29" s="20">
        <f>W2</f>
        <v>0.2441</v>
      </c>
      <c r="X29" s="20">
        <f t="shared" si="37"/>
        <v>2.3336</v>
      </c>
      <c r="Y29" s="20">
        <f>Y2</f>
        <v>0.2441</v>
      </c>
      <c r="Z29" s="20">
        <f t="shared" si="38"/>
        <v>2.3336</v>
      </c>
      <c r="AA29" s="20">
        <f>AA2</f>
        <v>0.1953</v>
      </c>
      <c r="AB29" s="20">
        <f t="shared" si="11"/>
        <v>2.5289</v>
      </c>
      <c r="AC29" s="20">
        <f t="shared" si="39"/>
        <v>31941</v>
      </c>
      <c r="AD29" s="20">
        <f t="shared" si="40"/>
        <v>43914</v>
      </c>
      <c r="AE29" s="20">
        <f t="shared" si="41"/>
        <v>47437</v>
      </c>
      <c r="AF29" s="20">
        <f t="shared" si="42"/>
        <v>66740</v>
      </c>
      <c r="AG29" s="20">
        <f t="shared" si="43"/>
        <v>102477</v>
      </c>
      <c r="AH29" s="20">
        <f t="shared" si="44"/>
        <v>120186</v>
      </c>
      <c r="AI29" s="20">
        <f t="shared" si="12"/>
        <v>37928</v>
      </c>
      <c r="AJ29" s="20">
        <f t="shared" si="13"/>
        <v>88508</v>
      </c>
      <c r="AK29" s="20">
        <f t="shared" si="14"/>
        <v>40971</v>
      </c>
      <c r="AL29" s="20">
        <f t="shared" si="15"/>
        <v>95609</v>
      </c>
      <c r="AM29" s="20">
        <f t="shared" si="16"/>
        <v>111054</v>
      </c>
      <c r="AN29" s="20">
        <f t="shared" si="17"/>
        <v>119963</v>
      </c>
    </row>
    <row r="30" spans="1:40">
      <c r="A30" s="20" t="s">
        <v>984</v>
      </c>
      <c r="B30" s="20">
        <f>1038</f>
        <v>1038</v>
      </c>
      <c r="C30" s="20">
        <f>属性计算面板!B2</f>
        <v>34400</v>
      </c>
      <c r="D30" s="20">
        <f>属性计算面板!B3</f>
        <v>45792</v>
      </c>
      <c r="E30" s="20">
        <v>0.99609375</v>
      </c>
      <c r="F30" s="20">
        <v>1</v>
      </c>
      <c r="I30" s="20">
        <f>I8</f>
        <v>0.05</v>
      </c>
      <c r="J30" s="20">
        <f>属性计算面板!B6</f>
        <v>0.472</v>
      </c>
      <c r="K30" s="20">
        <f>K2</f>
        <v>0.1181</v>
      </c>
      <c r="L30" s="20">
        <f>27550*(1-60%-额外增益统计!L74)/(27550*(1-60%-额外增益统计!L74)+51164.55)</f>
        <v>0.177214436704937</v>
      </c>
      <c r="M30" s="20">
        <f>属性计算面板!B7</f>
        <v>0.3473</v>
      </c>
      <c r="N30" s="20">
        <v>0.2</v>
      </c>
      <c r="O30" s="20">
        <f>属性计算面板!B4</f>
        <v>0.4994</v>
      </c>
      <c r="Q30" s="20">
        <f>MIN(O29+P29,1)</f>
        <v>0.4994</v>
      </c>
      <c r="R30" s="20">
        <f>R2</f>
        <v>0.2441</v>
      </c>
      <c r="S30" s="27">
        <f t="shared" si="6"/>
        <v>0.7435</v>
      </c>
      <c r="T30" s="20">
        <f>属性计算面板!B5</f>
        <v>2.0895</v>
      </c>
      <c r="V30" s="20">
        <f t="shared" si="35"/>
        <v>2.0895</v>
      </c>
      <c r="W30" s="20">
        <f>W2</f>
        <v>0.2441</v>
      </c>
      <c r="X30" s="20">
        <f t="shared" si="37"/>
        <v>2.3336</v>
      </c>
      <c r="Y30" s="20">
        <f>Y2</f>
        <v>0.2441</v>
      </c>
      <c r="Z30" s="20">
        <f t="shared" si="38"/>
        <v>2.3336</v>
      </c>
      <c r="AA30" s="20">
        <f>AA2</f>
        <v>0.1953</v>
      </c>
      <c r="AB30" s="20">
        <f t="shared" si="11"/>
        <v>2.5289</v>
      </c>
      <c r="AC30" s="20">
        <f t="shared" si="39"/>
        <v>63943</v>
      </c>
      <c r="AD30" s="20">
        <f t="shared" si="40"/>
        <v>87427</v>
      </c>
      <c r="AE30" s="20">
        <f t="shared" si="41"/>
        <v>94442</v>
      </c>
      <c r="AF30" s="20">
        <f t="shared" si="42"/>
        <v>133608</v>
      </c>
      <c r="AG30" s="20">
        <f t="shared" si="43"/>
        <v>204019</v>
      </c>
      <c r="AH30" s="20">
        <f t="shared" si="44"/>
        <v>239278</v>
      </c>
      <c r="AI30" s="20">
        <f t="shared" si="12"/>
        <v>75685</v>
      </c>
      <c r="AJ30" s="20">
        <f t="shared" si="13"/>
        <v>176618</v>
      </c>
      <c r="AK30" s="20">
        <f t="shared" si="14"/>
        <v>81758</v>
      </c>
      <c r="AL30" s="20">
        <f t="shared" si="15"/>
        <v>190790</v>
      </c>
      <c r="AM30" s="20">
        <f t="shared" si="16"/>
        <v>221094</v>
      </c>
      <c r="AN30" s="20">
        <f t="shared" si="17"/>
        <v>238834</v>
      </c>
    </row>
    <row r="31" spans="1:40">
      <c r="A31" s="20" t="s">
        <v>985</v>
      </c>
      <c r="B31" s="20">
        <v>21</v>
      </c>
      <c r="C31" s="20">
        <f>属性计算面板!B2</f>
        <v>34400</v>
      </c>
      <c r="D31" s="20">
        <f>属性计算面板!B3</f>
        <v>45792</v>
      </c>
      <c r="E31" s="20">
        <f>65/192</f>
        <v>0.338541666666667</v>
      </c>
      <c r="F31" s="20">
        <v>1</v>
      </c>
      <c r="I31" s="20">
        <f>I8</f>
        <v>0.05</v>
      </c>
      <c r="J31" s="20">
        <f>属性计算面板!B6</f>
        <v>0.472</v>
      </c>
      <c r="K31" s="20">
        <f>K2</f>
        <v>0.1181</v>
      </c>
      <c r="L31" s="20">
        <f>27550*(1-60%-额外增益统计!L74)/(27550*(1-60%-额外增益统计!L74)+51164.55)</f>
        <v>0.177214436704937</v>
      </c>
      <c r="M31" s="20">
        <f>属性计算面板!B7</f>
        <v>0.3473</v>
      </c>
      <c r="N31" s="20">
        <v>0.2</v>
      </c>
      <c r="O31" s="20">
        <f>属性计算面板!B4</f>
        <v>0.4994</v>
      </c>
      <c r="Q31" s="20">
        <f>MIN(O30+P30,1)</f>
        <v>0.4994</v>
      </c>
      <c r="R31" s="20">
        <f>R2</f>
        <v>0.2441</v>
      </c>
      <c r="S31" s="27">
        <f t="shared" si="6"/>
        <v>0.7435</v>
      </c>
      <c r="T31" s="20">
        <f>属性计算面板!B5</f>
        <v>2.0895</v>
      </c>
      <c r="V31" s="20">
        <f t="shared" si="35"/>
        <v>2.0895</v>
      </c>
      <c r="W31" s="20">
        <f>W2</f>
        <v>0.2441</v>
      </c>
      <c r="X31" s="20">
        <f t="shared" si="37"/>
        <v>2.3336</v>
      </c>
      <c r="Y31" s="20">
        <f>Y2</f>
        <v>0.2441</v>
      </c>
      <c r="Z31" s="20">
        <f t="shared" si="38"/>
        <v>2.3336</v>
      </c>
      <c r="AA31" s="20">
        <f>AA2</f>
        <v>0.1953</v>
      </c>
      <c r="AB31" s="20">
        <f t="shared" si="11"/>
        <v>2.5289</v>
      </c>
      <c r="AC31" s="20">
        <f t="shared" si="39"/>
        <v>21277</v>
      </c>
      <c r="AD31" s="20">
        <f t="shared" si="40"/>
        <v>29259</v>
      </c>
      <c r="AE31" s="20">
        <f t="shared" si="41"/>
        <v>31606</v>
      </c>
      <c r="AF31" s="20">
        <f t="shared" si="42"/>
        <v>44458</v>
      </c>
      <c r="AG31" s="20">
        <f t="shared" si="43"/>
        <v>68278</v>
      </c>
      <c r="AH31" s="20">
        <f t="shared" si="44"/>
        <v>80076</v>
      </c>
      <c r="AI31" s="20">
        <f t="shared" si="12"/>
        <v>25268</v>
      </c>
      <c r="AJ31" s="20">
        <f t="shared" si="13"/>
        <v>58965</v>
      </c>
      <c r="AK31" s="20">
        <f t="shared" si="14"/>
        <v>27295</v>
      </c>
      <c r="AL31" s="20">
        <f t="shared" si="15"/>
        <v>63695</v>
      </c>
      <c r="AM31" s="20">
        <f t="shared" si="16"/>
        <v>73993</v>
      </c>
      <c r="AN31" s="20">
        <f t="shared" si="17"/>
        <v>79928</v>
      </c>
    </row>
    <row r="32" spans="1:40">
      <c r="A32" s="20" t="s">
        <v>986</v>
      </c>
      <c r="B32" s="20">
        <f>53</f>
        <v>53</v>
      </c>
      <c r="C32" s="20">
        <f>53+46</f>
        <v>99</v>
      </c>
      <c r="D32" s="20">
        <f>属性计算面板!B3</f>
        <v>45792</v>
      </c>
      <c r="E32" s="29">
        <v>0.5</v>
      </c>
      <c r="F32" s="20">
        <v>1</v>
      </c>
      <c r="G32" s="20">
        <v>0.5</v>
      </c>
      <c r="H32" s="20">
        <v>0.3</v>
      </c>
      <c r="I32" s="20">
        <f>I8</f>
        <v>0.05</v>
      </c>
      <c r="J32" s="20">
        <f>属性计算面板!B6</f>
        <v>0.472</v>
      </c>
      <c r="K32" s="20">
        <f>K2</f>
        <v>0.1181</v>
      </c>
      <c r="L32" s="20">
        <f>27550*(1-60%-额外增益统计!L74)/(27550*(1-60%-额外增益统计!L74)+51164.55)</f>
        <v>0.177214436704937</v>
      </c>
      <c r="M32" s="20">
        <f>属性计算面板!B7</f>
        <v>0.3473</v>
      </c>
      <c r="N32" s="20">
        <v>0.2</v>
      </c>
      <c r="O32" s="20">
        <f>属性计算面板!B4</f>
        <v>0.4994</v>
      </c>
      <c r="Q32" s="20">
        <f>MIN(O32+P32,1)</f>
        <v>0.4994</v>
      </c>
      <c r="R32" s="20">
        <f>R2</f>
        <v>0.2441</v>
      </c>
      <c r="S32" s="27">
        <f t="shared" si="6"/>
        <v>0.7435</v>
      </c>
      <c r="T32" s="20">
        <f>属性计算面板!B5</f>
        <v>2.0895</v>
      </c>
      <c r="V32" s="20">
        <f t="shared" si="35"/>
        <v>2.0895</v>
      </c>
      <c r="W32" s="20">
        <f t="shared" ref="W32:AA32" si="53">W2</f>
        <v>0.2441</v>
      </c>
      <c r="X32" s="20">
        <f t="shared" si="37"/>
        <v>2.3336</v>
      </c>
      <c r="Y32" s="20">
        <f t="shared" si="53"/>
        <v>0.2441</v>
      </c>
      <c r="Z32" s="20">
        <f t="shared" si="38"/>
        <v>2.3336</v>
      </c>
      <c r="AA32" s="20">
        <f t="shared" si="53"/>
        <v>0.1953</v>
      </c>
      <c r="AB32" s="20">
        <f t="shared" si="11"/>
        <v>2.5289</v>
      </c>
      <c r="AC32" s="20">
        <f t="shared" si="39"/>
        <v>56620</v>
      </c>
      <c r="AD32" s="20">
        <f t="shared" si="40"/>
        <v>56681</v>
      </c>
      <c r="AE32" s="20">
        <f t="shared" si="41"/>
        <v>61229</v>
      </c>
      <c r="AF32" s="20">
        <f t="shared" si="42"/>
        <v>118307</v>
      </c>
      <c r="AG32" s="20">
        <f t="shared" si="43"/>
        <v>132270</v>
      </c>
      <c r="AH32" s="20">
        <f t="shared" si="44"/>
        <v>155129</v>
      </c>
      <c r="AI32" s="20">
        <f t="shared" si="12"/>
        <v>56651</v>
      </c>
      <c r="AJ32" s="20">
        <f t="shared" si="13"/>
        <v>132200</v>
      </c>
      <c r="AK32" s="20">
        <f t="shared" si="14"/>
        <v>61196</v>
      </c>
      <c r="AL32" s="20">
        <f t="shared" si="15"/>
        <v>142806</v>
      </c>
      <c r="AM32" s="20">
        <f t="shared" si="16"/>
        <v>143340</v>
      </c>
      <c r="AN32" s="20">
        <f t="shared" si="17"/>
        <v>154842</v>
      </c>
    </row>
    <row r="33" spans="1:29">
      <c r="A33" s="29"/>
      <c r="D33" s="29"/>
      <c r="E33" s="29"/>
      <c r="F33" s="29"/>
      <c r="G33" s="29"/>
      <c r="H33" s="29"/>
      <c r="I33" s="28"/>
      <c r="J33" s="28"/>
      <c r="K33" s="28"/>
      <c r="L33" s="28"/>
      <c r="M33" s="28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</row>
    <row r="34" spans="1:29">
      <c r="A34" s="29"/>
      <c r="B34" s="29"/>
      <c r="C34" s="29"/>
      <c r="D34" s="29"/>
      <c r="E34" s="29"/>
      <c r="F34" s="29"/>
      <c r="G34" s="29"/>
      <c r="H34" s="29"/>
      <c r="I34" s="51"/>
      <c r="J34" s="51"/>
      <c r="K34" s="51"/>
      <c r="L34" s="30"/>
      <c r="M34" s="30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</row>
    <row r="35" spans="1:29">
      <c r="A35" s="29"/>
      <c r="B35" s="29"/>
      <c r="C35" s="29"/>
      <c r="D35" s="29"/>
      <c r="E35" s="29"/>
      <c r="F35" s="29"/>
      <c r="G35" s="29"/>
      <c r="H35" s="29"/>
      <c r="I35" s="51"/>
      <c r="J35" s="51"/>
      <c r="K35" s="51"/>
      <c r="L35" s="30"/>
      <c r="M35" s="30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</row>
    <row r="36" spans="1:29">
      <c r="A36" s="29"/>
      <c r="B36" s="29"/>
      <c r="C36" s="29"/>
      <c r="D36" s="29"/>
      <c r="E36" s="29"/>
      <c r="F36" s="29"/>
      <c r="G36" s="29"/>
      <c r="H36" s="29"/>
      <c r="I36" s="51"/>
      <c r="J36" s="51"/>
      <c r="K36" s="51"/>
      <c r="L36" s="30"/>
      <c r="M36" s="30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</row>
    <row r="37" spans="2:29">
      <c r="B37" s="20" t="s">
        <v>365</v>
      </c>
      <c r="C37" s="20" t="s">
        <v>987</v>
      </c>
      <c r="D37" s="20" t="s">
        <v>988</v>
      </c>
      <c r="E37" s="20" t="s">
        <v>989</v>
      </c>
      <c r="F37" s="20" t="s">
        <v>990</v>
      </c>
      <c r="G37" s="20" t="s">
        <v>991</v>
      </c>
      <c r="H37" s="20" t="s">
        <v>992</v>
      </c>
      <c r="I37" s="20" t="s">
        <v>993</v>
      </c>
      <c r="L37" s="20" t="s">
        <v>994</v>
      </c>
      <c r="M37" s="20" t="s">
        <v>995</v>
      </c>
      <c r="U37" s="29"/>
      <c r="V37" s="29"/>
      <c r="W37" s="29"/>
      <c r="X37" s="29"/>
      <c r="Y37" s="29"/>
      <c r="Z37" s="29"/>
      <c r="AA37" s="29"/>
      <c r="AB37" s="29"/>
      <c r="AC37" s="29"/>
    </row>
    <row r="38" spans="1:29">
      <c r="A38" s="20" t="s">
        <v>959</v>
      </c>
      <c r="B38" s="20">
        <f>7+额外增益统计!F108*额外增益统计!G108</f>
        <v>7</v>
      </c>
      <c r="C38" s="35">
        <v>0</v>
      </c>
      <c r="D38" s="35"/>
      <c r="E38" s="35">
        <f>额外增益统计!D108*额外增益统计!G108-I38</f>
        <v>0</v>
      </c>
      <c r="G38" s="35">
        <v>0</v>
      </c>
      <c r="H38" s="35"/>
      <c r="I38" s="35">
        <f>4*属性计算面板!B20*按提示输入属性!D42</f>
        <v>0</v>
      </c>
      <c r="K38" s="20">
        <f t="shared" ref="K38:K67" si="54">SUM(B38:I38)</f>
        <v>7</v>
      </c>
      <c r="L38" s="20">
        <f>K38</f>
        <v>7</v>
      </c>
      <c r="M38" s="20">
        <f>SUM(B38:I38)</f>
        <v>7</v>
      </c>
      <c r="N38" t="s">
        <v>996</v>
      </c>
      <c r="O38"/>
      <c r="P38"/>
      <c r="Q38"/>
      <c r="R38"/>
      <c r="S38"/>
      <c r="T38"/>
      <c r="U38" s="32"/>
      <c r="V38" s="29"/>
      <c r="W38" s="29"/>
      <c r="X38" s="29"/>
      <c r="Y38" s="29"/>
      <c r="Z38" s="29"/>
      <c r="AA38" s="29"/>
      <c r="AB38" s="29"/>
      <c r="AC38" s="29"/>
    </row>
    <row r="39" spans="1:29">
      <c r="A39" s="20" t="s">
        <v>960</v>
      </c>
      <c r="B39" s="20">
        <f>按提示输入属性!P20/5*额外增益统计!D129+额外增益统计!D137/5-F39+2*(额外增益统计!D108-属性计算面板!B20)*按提示输入属性!D42</f>
        <v>99</v>
      </c>
      <c r="C39" s="35">
        <v>0</v>
      </c>
      <c r="D39" s="35">
        <f>1*(按提示输入属性!D36-属性计算面板!B20)</f>
        <v>5</v>
      </c>
      <c r="E39" s="35">
        <f>2*按提示输入属性!D36-I39-2*(额外增益统计!D108-属性计算面板!B20)*按提示输入属性!D42</f>
        <v>10</v>
      </c>
      <c r="F39" s="20">
        <f>1*属性计算面板!B20</f>
        <v>2</v>
      </c>
      <c r="G39" s="35">
        <v>0</v>
      </c>
      <c r="H39" s="35">
        <f>1*属性计算面板!B20</f>
        <v>2</v>
      </c>
      <c r="I39" s="35">
        <f>(2*属性计算面板!B20-(2*2)*按提示输入属性!D42)*(额外增益统计!D165+额外增益统计!E165)</f>
        <v>4</v>
      </c>
      <c r="K39" s="20">
        <f t="shared" si="54"/>
        <v>122</v>
      </c>
      <c r="L39" s="20">
        <f>SUM(K39:K43)</f>
        <v>610</v>
      </c>
      <c r="M39" s="20">
        <f>SUM(C39:I43)</f>
        <v>115</v>
      </c>
      <c r="N39"/>
      <c r="O39" t="s">
        <v>254</v>
      </c>
      <c r="P39" t="s">
        <v>997</v>
      </c>
      <c r="Q39" s="20" t="s">
        <v>947</v>
      </c>
      <c r="R39" s="20" t="s">
        <v>998</v>
      </c>
      <c r="Z39" s="29"/>
      <c r="AA39" s="29"/>
      <c r="AB39" s="29"/>
      <c r="AC39" s="29"/>
    </row>
    <row r="40" spans="1:29">
      <c r="A40" s="20" t="s">
        <v>961</v>
      </c>
      <c r="B40" s="20">
        <f>B39</f>
        <v>99</v>
      </c>
      <c r="C40" s="35">
        <v>0</v>
      </c>
      <c r="D40" s="35">
        <f t="shared" ref="C40:I40" si="55">D39</f>
        <v>5</v>
      </c>
      <c r="E40" s="35">
        <f t="shared" si="55"/>
        <v>10</v>
      </c>
      <c r="F40" s="20">
        <f t="shared" si="55"/>
        <v>2</v>
      </c>
      <c r="G40" s="35">
        <v>0</v>
      </c>
      <c r="H40" s="35">
        <f t="shared" si="55"/>
        <v>2</v>
      </c>
      <c r="I40" s="35">
        <f t="shared" si="55"/>
        <v>4</v>
      </c>
      <c r="K40" s="20">
        <f t="shared" si="54"/>
        <v>122</v>
      </c>
      <c r="N40">
        <v>1</v>
      </c>
      <c r="O40" t="s">
        <v>976</v>
      </c>
      <c r="P40" s="31">
        <f>L55</f>
        <v>91</v>
      </c>
      <c r="Q40" s="20">
        <f>L88</f>
        <v>50882445</v>
      </c>
      <c r="R40" s="22">
        <f>Q40/SUM(Q40:Q57)</f>
        <v>0.235591999359747</v>
      </c>
      <c r="S40"/>
      <c r="T40"/>
      <c r="U40" s="29"/>
      <c r="V40" s="29"/>
      <c r="W40" s="29"/>
      <c r="X40" s="29"/>
      <c r="Y40" s="29"/>
      <c r="Z40" s="29"/>
      <c r="AA40" s="29"/>
      <c r="AB40" s="29"/>
      <c r="AC40" s="29"/>
    </row>
    <row r="41" spans="1:29">
      <c r="A41" s="20" t="s">
        <v>962</v>
      </c>
      <c r="B41" s="20">
        <f>B39</f>
        <v>99</v>
      </c>
      <c r="C41" s="35">
        <v>0</v>
      </c>
      <c r="D41" s="35">
        <f>D39</f>
        <v>5</v>
      </c>
      <c r="E41" s="35">
        <f>E39</f>
        <v>10</v>
      </c>
      <c r="F41" s="20">
        <f>F39</f>
        <v>2</v>
      </c>
      <c r="G41" s="35">
        <v>0</v>
      </c>
      <c r="H41" s="35">
        <f>H39</f>
        <v>2</v>
      </c>
      <c r="I41" s="35">
        <f>I39</f>
        <v>4</v>
      </c>
      <c r="K41" s="20">
        <f t="shared" si="54"/>
        <v>122</v>
      </c>
      <c r="N41">
        <v>2</v>
      </c>
      <c r="O41" t="s">
        <v>383</v>
      </c>
      <c r="P41" s="18">
        <f>L39</f>
        <v>610</v>
      </c>
      <c r="Q41" s="20">
        <f>L72</f>
        <v>67946513</v>
      </c>
      <c r="R41" s="22">
        <f>Q41/SUM(Q40:Q57)</f>
        <v>0.314600739944651</v>
      </c>
      <c r="S41"/>
      <c r="T41"/>
      <c r="U41" s="32"/>
      <c r="V41" s="29"/>
      <c r="W41" s="29"/>
      <c r="X41" s="29"/>
      <c r="Y41" s="29"/>
      <c r="Z41" s="29"/>
      <c r="AA41" s="29"/>
      <c r="AB41" s="29"/>
      <c r="AC41" s="29"/>
    </row>
    <row r="42" spans="1:29">
      <c r="A42" s="20" t="s">
        <v>963</v>
      </c>
      <c r="B42" s="20">
        <f t="shared" ref="B42:F42" si="56">B39</f>
        <v>99</v>
      </c>
      <c r="C42" s="35">
        <v>0</v>
      </c>
      <c r="D42" s="35">
        <f t="shared" si="56"/>
        <v>5</v>
      </c>
      <c r="E42" s="35">
        <f t="shared" si="56"/>
        <v>10</v>
      </c>
      <c r="F42" s="20">
        <f t="shared" si="56"/>
        <v>2</v>
      </c>
      <c r="G42" s="35">
        <v>0</v>
      </c>
      <c r="H42" s="35">
        <f>H39</f>
        <v>2</v>
      </c>
      <c r="I42" s="35">
        <f>I39</f>
        <v>4</v>
      </c>
      <c r="K42" s="20">
        <f t="shared" si="54"/>
        <v>122</v>
      </c>
      <c r="N42">
        <v>3</v>
      </c>
      <c r="O42" t="s">
        <v>384</v>
      </c>
      <c r="P42" s="18">
        <f>L47</f>
        <v>84</v>
      </c>
      <c r="Q42" s="20">
        <f>L80</f>
        <v>28818379</v>
      </c>
      <c r="R42" s="22">
        <f>Q42/SUM(Q40:Q57)</f>
        <v>0.133432651023687</v>
      </c>
      <c r="S42"/>
      <c r="T42"/>
      <c r="U42" s="29"/>
      <c r="V42" s="29"/>
      <c r="W42" s="29"/>
      <c r="X42" s="29"/>
      <c r="Y42" s="29"/>
      <c r="Z42" s="29"/>
      <c r="AA42" s="29"/>
      <c r="AB42" s="29"/>
      <c r="AC42" s="29"/>
    </row>
    <row r="43" spans="1:29">
      <c r="A43" s="20" t="s">
        <v>964</v>
      </c>
      <c r="B43" s="20">
        <f t="shared" ref="B43:F43" si="57">B39</f>
        <v>99</v>
      </c>
      <c r="C43" s="35">
        <v>0</v>
      </c>
      <c r="D43" s="35">
        <f t="shared" si="57"/>
        <v>5</v>
      </c>
      <c r="E43" s="35">
        <f t="shared" si="57"/>
        <v>10</v>
      </c>
      <c r="F43" s="20">
        <f t="shared" si="57"/>
        <v>2</v>
      </c>
      <c r="G43" s="35">
        <v>0</v>
      </c>
      <c r="H43" s="35">
        <f>H39</f>
        <v>2</v>
      </c>
      <c r="I43" s="35">
        <f>I39</f>
        <v>4</v>
      </c>
      <c r="K43" s="20">
        <f t="shared" si="54"/>
        <v>122</v>
      </c>
      <c r="N43">
        <v>4</v>
      </c>
      <c r="O43" t="s">
        <v>965</v>
      </c>
      <c r="P43" s="31">
        <f>M44</f>
        <v>168</v>
      </c>
      <c r="Q43" s="20">
        <f>L77</f>
        <v>21612014</v>
      </c>
      <c r="R43" s="22">
        <f>Q43/SUM(Q40:Q57)</f>
        <v>0.100066291791812</v>
      </c>
      <c r="S43"/>
      <c r="T43"/>
      <c r="U43" s="29"/>
      <c r="V43" s="29"/>
      <c r="W43" s="29"/>
      <c r="X43" s="29"/>
      <c r="Y43" s="29"/>
      <c r="Z43" s="29"/>
      <c r="AA43" s="29"/>
      <c r="AB43" s="29"/>
      <c r="AC43" s="29"/>
    </row>
    <row r="44" spans="1:29">
      <c r="A44" s="35" t="s">
        <v>965</v>
      </c>
      <c r="B44" s="35">
        <f>4*属性计算面板!B12*按提示输入属性!D64</f>
        <v>28</v>
      </c>
      <c r="C44" s="35">
        <v>0</v>
      </c>
      <c r="D44" s="35"/>
      <c r="E44" s="35">
        <f>(20*按提示输入属性!D36-I44)*按提示输入属性!D64</f>
        <v>100</v>
      </c>
      <c r="F44" s="35"/>
      <c r="G44" s="35">
        <v>0</v>
      </c>
      <c r="H44" s="35"/>
      <c r="I44" s="35">
        <f>20*属性计算面板!B20*按提示输入属性!D64</f>
        <v>40</v>
      </c>
      <c r="K44" s="20">
        <f>SUM(B44:I44)*按提示输入属性!D64</f>
        <v>168</v>
      </c>
      <c r="L44" s="20">
        <f>K44</f>
        <v>168</v>
      </c>
      <c r="M44" s="20">
        <f>L44</f>
        <v>168</v>
      </c>
      <c r="N44">
        <v>5</v>
      </c>
      <c r="O44" t="s">
        <v>999</v>
      </c>
      <c r="P44" s="18">
        <f>L50</f>
        <v>93</v>
      </c>
      <c r="Q44" s="20">
        <f>L83</f>
        <v>13289482</v>
      </c>
      <c r="R44" s="22">
        <f>Q44/SUM(Q40:Q57)</f>
        <v>0.0615319416123844</v>
      </c>
      <c r="S44"/>
      <c r="T44"/>
      <c r="U44" s="29"/>
      <c r="V44" s="29"/>
      <c r="W44" s="29"/>
      <c r="X44" s="29"/>
      <c r="Y44" s="29"/>
      <c r="Z44" s="29"/>
      <c r="AA44" s="29"/>
      <c r="AB44" s="29"/>
      <c r="AC44" s="29"/>
    </row>
    <row r="45" spans="1:29">
      <c r="A45" s="35" t="s">
        <v>966</v>
      </c>
      <c r="B45" s="35">
        <f>按提示输入属性!D36</f>
        <v>7</v>
      </c>
      <c r="C45" s="35">
        <v>0</v>
      </c>
      <c r="D45" s="35"/>
      <c r="E45" s="35"/>
      <c r="F45" s="35"/>
      <c r="G45" s="35">
        <v>0</v>
      </c>
      <c r="H45" s="35"/>
      <c r="I45" s="35"/>
      <c r="K45" s="20">
        <f t="shared" si="54"/>
        <v>7</v>
      </c>
      <c r="L45" s="20">
        <f>K45</f>
        <v>7</v>
      </c>
      <c r="N45">
        <v>6</v>
      </c>
      <c r="O45" t="s">
        <v>385</v>
      </c>
      <c r="P45" s="18">
        <f>L46</f>
        <v>65</v>
      </c>
      <c r="Q45" s="20">
        <f>L79</f>
        <v>26849390</v>
      </c>
      <c r="R45" s="22">
        <f>Q45/SUM(Q40:Q57)</f>
        <v>0.124315988975954</v>
      </c>
      <c r="S45"/>
      <c r="T45"/>
      <c r="U45" s="29"/>
      <c r="V45" s="29"/>
      <c r="W45" s="29"/>
      <c r="X45" s="29"/>
      <c r="Y45" s="29"/>
      <c r="Z45" s="29"/>
      <c r="AA45" s="29"/>
      <c r="AB45" s="29"/>
      <c r="AC45" s="29"/>
    </row>
    <row r="46" spans="1:29">
      <c r="A46" s="20" t="s">
        <v>967</v>
      </c>
      <c r="B46" s="20">
        <f>按提示输入属性!P24*额外增益统计!D129+额外增益统计!F137-I46-H46-E46-D46-F46</f>
        <v>42</v>
      </c>
      <c r="C46" s="35">
        <v>0</v>
      </c>
      <c r="D46" s="35">
        <f>1*(属性计算面板!B12-属性计算面板!B20)</f>
        <v>5</v>
      </c>
      <c r="E46" s="35">
        <f>2*(属性计算面板!B12-属性计算面板!B20)-(额外增益统计!D108-属性计算面板!B20)*2-I46</f>
        <v>10</v>
      </c>
      <c r="F46" s="20">
        <f>1*属性计算面板!B20</f>
        <v>2</v>
      </c>
      <c r="G46" s="35">
        <v>0</v>
      </c>
      <c r="H46" s="35">
        <f>1*属性计算面板!B20</f>
        <v>2</v>
      </c>
      <c r="I46" s="35">
        <f>2*属性计算面板!B20-2*按提示输入属性!D42*属性计算面板!B20</f>
        <v>4</v>
      </c>
      <c r="K46" s="20">
        <f t="shared" si="54"/>
        <v>65</v>
      </c>
      <c r="L46" s="20">
        <f>K46</f>
        <v>65</v>
      </c>
      <c r="M46" s="20">
        <v>0</v>
      </c>
      <c r="N46">
        <v>7</v>
      </c>
      <c r="O46" t="s">
        <v>1000</v>
      </c>
      <c r="P46" s="18">
        <f>L38</f>
        <v>7</v>
      </c>
      <c r="Q46" s="20">
        <f>L71</f>
        <v>4554092</v>
      </c>
      <c r="R46" s="22">
        <f>Q46/SUM(Q40:Q57)</f>
        <v>0.0210860079453381</v>
      </c>
      <c r="S46"/>
      <c r="T46"/>
      <c r="U46" s="32"/>
      <c r="V46" s="32"/>
      <c r="W46" s="32"/>
      <c r="X46" s="32"/>
      <c r="Y46" s="32"/>
      <c r="Z46" s="32"/>
      <c r="AA46" s="32"/>
      <c r="AB46" s="32"/>
      <c r="AC46" s="32"/>
    </row>
    <row r="47" spans="1:29">
      <c r="A47" s="20" t="s">
        <v>1001</v>
      </c>
      <c r="B47" s="20">
        <f>按提示输入属性!P21*额外增益统计!D129+额外增益统计!E137+INT(2*6*Q11)*额外增益统计!C74-1*属性计算面板!B20</f>
        <v>42</v>
      </c>
      <c r="C47" s="35">
        <v>0</v>
      </c>
      <c r="D47" s="35">
        <f>1*(属性计算面板!B12-属性计算面板!B20)</f>
        <v>5</v>
      </c>
      <c r="E47" s="35">
        <f>3*(属性计算面板!B12-属性计算面板!B20)-(额外增益统计!D108-属性计算面板!B20)*3-I47</f>
        <v>15</v>
      </c>
      <c r="F47" s="20">
        <f>1*属性计算面板!B20</f>
        <v>2</v>
      </c>
      <c r="G47" s="35">
        <v>0</v>
      </c>
      <c r="H47" s="35">
        <f>1*属性计算面板!B20</f>
        <v>2</v>
      </c>
      <c r="I47" s="35">
        <f>3*属性计算面板!B20-2*按提示输入属性!D42*属性计算面板!B20</f>
        <v>6</v>
      </c>
      <c r="K47" s="20">
        <f t="shared" si="54"/>
        <v>72</v>
      </c>
      <c r="L47" s="20">
        <f>SUM(K47:K49)</f>
        <v>84</v>
      </c>
      <c r="M47" s="20">
        <f>SUM(C47:I49)</f>
        <v>30</v>
      </c>
      <c r="N47">
        <v>8</v>
      </c>
      <c r="O47" t="s">
        <v>1002</v>
      </c>
      <c r="P47" s="31">
        <f>K63</f>
        <v>0</v>
      </c>
      <c r="Q47" s="20">
        <f>L96</f>
        <v>0</v>
      </c>
      <c r="R47" s="22">
        <f>Q47/SUM(Q40:Q57)</f>
        <v>0</v>
      </c>
      <c r="S47"/>
      <c r="T47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>
      <c r="A48" s="20" t="s">
        <v>969</v>
      </c>
      <c r="B48" s="20">
        <f>2*6-INT(2*6*Q11)*额外增益统计!C74</f>
        <v>12</v>
      </c>
      <c r="C48" s="35">
        <v>0</v>
      </c>
      <c r="D48" s="35">
        <v>0</v>
      </c>
      <c r="E48" s="35"/>
      <c r="G48" s="35">
        <v>0</v>
      </c>
      <c r="H48" s="35">
        <v>0</v>
      </c>
      <c r="I48" s="35">
        <v>0</v>
      </c>
      <c r="K48" s="20">
        <f t="shared" si="54"/>
        <v>12</v>
      </c>
      <c r="N48">
        <v>9</v>
      </c>
      <c r="O48" t="s">
        <v>1003</v>
      </c>
      <c r="P48" s="31">
        <f>K62</f>
        <v>0</v>
      </c>
      <c r="Q48" s="20">
        <f>L96</f>
        <v>0</v>
      </c>
      <c r="R48" s="22">
        <f>Q48/SUM(Q40:Q57)</f>
        <v>0</v>
      </c>
      <c r="S48"/>
      <c r="T48"/>
      <c r="U48" s="29"/>
      <c r="V48" s="29"/>
      <c r="W48" s="29"/>
      <c r="X48" s="29"/>
      <c r="Y48" s="29"/>
      <c r="Z48" s="29"/>
      <c r="AA48" s="29"/>
      <c r="AB48" s="29"/>
      <c r="AC48" s="29"/>
    </row>
    <row r="49" ht="17.25" spans="1:39">
      <c r="A49" s="20" t="s">
        <v>970</v>
      </c>
      <c r="B49" s="20">
        <v>0</v>
      </c>
      <c r="C49" s="35">
        <v>0</v>
      </c>
      <c r="D49" s="35"/>
      <c r="E49" s="35"/>
      <c r="G49" s="35">
        <v>0</v>
      </c>
      <c r="H49" s="35"/>
      <c r="I49" s="35"/>
      <c r="K49" s="20">
        <f t="shared" si="54"/>
        <v>0</v>
      </c>
      <c r="N49">
        <v>10</v>
      </c>
      <c r="O49" t="s">
        <v>364</v>
      </c>
      <c r="P49" s="31">
        <f>K59</f>
        <v>0</v>
      </c>
      <c r="Q49" s="20">
        <f>L92</f>
        <v>0</v>
      </c>
      <c r="R49" s="22">
        <f>Q49/SUM(Q40:Q57)</f>
        <v>0</v>
      </c>
      <c r="S49"/>
      <c r="T49"/>
      <c r="U49" s="29"/>
      <c r="V49" s="29"/>
      <c r="W49" s="29"/>
      <c r="X49" s="29"/>
      <c r="Y49" s="29"/>
      <c r="Z49" s="29"/>
      <c r="AA49" s="29"/>
      <c r="AB49" s="29"/>
      <c r="AC49" s="29"/>
      <c r="AE49" s="33"/>
      <c r="AF49" s="33"/>
      <c r="AG49" s="33"/>
      <c r="AH49" s="34"/>
      <c r="AI49" s="34"/>
      <c r="AJ49" s="34"/>
      <c r="AK49" s="34"/>
      <c r="AL49" s="34"/>
      <c r="AM49" s="34"/>
    </row>
    <row r="50" spans="1:29">
      <c r="A50" s="35" t="s">
        <v>971</v>
      </c>
      <c r="B50" s="35">
        <v>13</v>
      </c>
      <c r="C50" s="35">
        <v>0</v>
      </c>
      <c r="D50" s="35"/>
      <c r="E50" s="35"/>
      <c r="F50" s="35"/>
      <c r="G50" s="35">
        <v>0</v>
      </c>
      <c r="H50" s="35"/>
      <c r="I50" s="35"/>
      <c r="J50" s="20">
        <v>28</v>
      </c>
      <c r="K50" s="20">
        <f>SUM(B50:J50)</f>
        <v>41</v>
      </c>
      <c r="L50" s="20">
        <f>SUM(K50:K54)+SUM(J51:J54)</f>
        <v>93</v>
      </c>
      <c r="M50" s="20">
        <f>SUM(B50:I54)</f>
        <v>65</v>
      </c>
      <c r="N50">
        <v>11</v>
      </c>
      <c r="O50" t="s">
        <v>981</v>
      </c>
      <c r="P50" s="31">
        <f>K61</f>
        <v>16</v>
      </c>
      <c r="Q50" s="20">
        <f>L94</f>
        <v>810667</v>
      </c>
      <c r="R50" s="22">
        <f>Q50/SUM(Q40:Q57)</f>
        <v>0.00375348824815646</v>
      </c>
      <c r="S50"/>
      <c r="T50"/>
      <c r="U50" s="29"/>
      <c r="V50" s="29"/>
      <c r="W50" s="29"/>
      <c r="X50" s="29"/>
      <c r="Y50" s="29"/>
      <c r="Z50" s="29"/>
      <c r="AA50" s="29"/>
      <c r="AB50" s="29"/>
      <c r="AC50" s="29"/>
    </row>
    <row r="51" spans="1:31">
      <c r="A51" s="35" t="s">
        <v>972</v>
      </c>
      <c r="B51" s="35">
        <v>6</v>
      </c>
      <c r="C51" s="35">
        <v>0</v>
      </c>
      <c r="D51" s="35"/>
      <c r="E51" s="35">
        <f>28/4-I51</f>
        <v>5</v>
      </c>
      <c r="F51" s="35"/>
      <c r="G51" s="35">
        <v>0</v>
      </c>
      <c r="H51" s="35"/>
      <c r="I51" s="35">
        <f>1*属性计算面板!B20</f>
        <v>2</v>
      </c>
      <c r="K51" s="20">
        <f t="shared" si="54"/>
        <v>13</v>
      </c>
      <c r="N51">
        <v>12</v>
      </c>
      <c r="O51" t="s">
        <v>1004</v>
      </c>
      <c r="P51" s="31">
        <f>K64</f>
        <v>0</v>
      </c>
      <c r="Q51" s="20">
        <f>L97</f>
        <v>0</v>
      </c>
      <c r="R51" s="22">
        <f>Q51/SUM(Q40:Q57)</f>
        <v>0</v>
      </c>
      <c r="S51"/>
      <c r="T51"/>
      <c r="U51" s="29"/>
      <c r="V51" s="29"/>
      <c r="W51" s="29"/>
      <c r="X51" s="29"/>
      <c r="Y51" s="29"/>
      <c r="Z51" s="29"/>
      <c r="AA51" s="29"/>
      <c r="AB51" s="29"/>
      <c r="AC51" s="29"/>
      <c r="AE51" s="33"/>
    </row>
    <row r="52" spans="1:29">
      <c r="A52" s="35" t="s">
        <v>973</v>
      </c>
      <c r="B52" s="35">
        <v>6</v>
      </c>
      <c r="C52" s="35">
        <v>0</v>
      </c>
      <c r="D52" s="35"/>
      <c r="E52" s="35">
        <f>E51</f>
        <v>5</v>
      </c>
      <c r="F52" s="35"/>
      <c r="G52" s="35">
        <v>0</v>
      </c>
      <c r="H52" s="35"/>
      <c r="I52" s="35">
        <f>I51</f>
        <v>2</v>
      </c>
      <c r="K52" s="20">
        <f t="shared" si="54"/>
        <v>13</v>
      </c>
      <c r="N52">
        <v>13</v>
      </c>
      <c r="O52" t="s">
        <v>980</v>
      </c>
      <c r="P52" s="31">
        <f>K60</f>
        <v>23</v>
      </c>
      <c r="Q52" s="20">
        <f>L93</f>
        <v>732384</v>
      </c>
      <c r="R52" s="22">
        <f>Q52/SUM(Q40:Q57)</f>
        <v>0.00339102829785575</v>
      </c>
      <c r="S52"/>
      <c r="T52"/>
      <c r="U52" s="29"/>
      <c r="V52" s="29"/>
      <c r="W52" s="29"/>
      <c r="X52" s="29"/>
      <c r="Y52" s="29"/>
      <c r="Z52" s="29"/>
      <c r="AA52" s="29"/>
      <c r="AB52" s="29"/>
      <c r="AC52" s="29"/>
    </row>
    <row r="53" spans="1:31">
      <c r="A53" s="35" t="s">
        <v>974</v>
      </c>
      <c r="B53" s="35">
        <v>6</v>
      </c>
      <c r="C53" s="35">
        <v>0</v>
      </c>
      <c r="D53" s="35"/>
      <c r="E53" s="35">
        <f>E51</f>
        <v>5</v>
      </c>
      <c r="F53" s="35"/>
      <c r="G53" s="35">
        <v>0</v>
      </c>
      <c r="H53" s="35"/>
      <c r="I53" s="35">
        <f>I51</f>
        <v>2</v>
      </c>
      <c r="K53" s="20">
        <f t="shared" si="54"/>
        <v>13</v>
      </c>
      <c r="N53">
        <v>14</v>
      </c>
      <c r="O53" t="s">
        <v>966</v>
      </c>
      <c r="P53" s="31">
        <f>K45</f>
        <v>7</v>
      </c>
      <c r="Q53" s="20">
        <f>L78</f>
        <v>370682</v>
      </c>
      <c r="R53" s="22">
        <f>Q53/SUM(Q40:Q57)</f>
        <v>0.00171630340300411</v>
      </c>
      <c r="S53"/>
      <c r="T53"/>
      <c r="U53" s="29"/>
      <c r="V53" s="29"/>
      <c r="W53" s="29"/>
      <c r="X53" s="29"/>
      <c r="Y53" s="29"/>
      <c r="Z53" s="29"/>
      <c r="AA53" s="29"/>
      <c r="AB53" s="29"/>
      <c r="AC53" s="29"/>
      <c r="AE53" s="33"/>
    </row>
    <row r="54" spans="1:29">
      <c r="A54" s="35" t="s">
        <v>975</v>
      </c>
      <c r="B54" s="35">
        <v>6</v>
      </c>
      <c r="C54" s="35">
        <v>0</v>
      </c>
      <c r="D54" s="35"/>
      <c r="E54" s="35">
        <f>E51</f>
        <v>5</v>
      </c>
      <c r="F54" s="35"/>
      <c r="G54" s="35">
        <v>0</v>
      </c>
      <c r="H54" s="35"/>
      <c r="I54" s="35">
        <f>I51</f>
        <v>2</v>
      </c>
      <c r="K54" s="20">
        <f t="shared" si="54"/>
        <v>13</v>
      </c>
      <c r="N54">
        <v>15</v>
      </c>
      <c r="O54" t="s">
        <v>979</v>
      </c>
      <c r="P54" s="31">
        <f>K58</f>
        <v>14</v>
      </c>
      <c r="Q54" s="20">
        <f>L91</f>
        <v>110917</v>
      </c>
      <c r="R54" s="22">
        <f>Q54/SUM(Q40:Q57)</f>
        <v>0.000513559397410738</v>
      </c>
      <c r="S54"/>
      <c r="T54"/>
      <c r="U54" s="29"/>
      <c r="V54" s="29"/>
      <c r="W54" s="29"/>
      <c r="X54" s="29"/>
      <c r="Y54" s="29"/>
      <c r="Z54" s="29"/>
      <c r="AA54" s="29"/>
      <c r="AB54" s="29"/>
      <c r="AC54" s="29"/>
    </row>
    <row r="55" spans="1:31">
      <c r="A55" s="20" t="s">
        <v>976</v>
      </c>
      <c r="B55" s="20">
        <f>B47+B48</f>
        <v>54</v>
      </c>
      <c r="C55" s="35">
        <v>0</v>
      </c>
      <c r="D55" s="35">
        <f t="shared" ref="C55:I55" si="58">D47+D48</f>
        <v>5</v>
      </c>
      <c r="E55" s="35">
        <f t="shared" si="58"/>
        <v>15</v>
      </c>
      <c r="F55" s="20">
        <f t="shared" si="58"/>
        <v>2</v>
      </c>
      <c r="G55" s="35">
        <v>0</v>
      </c>
      <c r="H55" s="35">
        <f t="shared" si="58"/>
        <v>2</v>
      </c>
      <c r="I55" s="35">
        <f t="shared" si="58"/>
        <v>6</v>
      </c>
      <c r="K55" s="20">
        <f t="shared" si="54"/>
        <v>84</v>
      </c>
      <c r="L55" s="20">
        <f>SUM(K55:K57)</f>
        <v>91</v>
      </c>
      <c r="N55">
        <v>16</v>
      </c>
      <c r="O55" t="s">
        <v>983</v>
      </c>
      <c r="P55">
        <f>L65</f>
        <v>0</v>
      </c>
      <c r="Q55" s="20">
        <f>L98</f>
        <v>0</v>
      </c>
      <c r="R55" s="22">
        <f>Q55/SUM(Q40:Q57)</f>
        <v>0</v>
      </c>
      <c r="S55"/>
      <c r="T55"/>
      <c r="U55" s="29"/>
      <c r="V55" s="29"/>
      <c r="W55" s="29"/>
      <c r="X55" s="29"/>
      <c r="Y55" s="29"/>
      <c r="Z55" s="29"/>
      <c r="AA55" s="29"/>
      <c r="AB55" s="29"/>
      <c r="AC55" s="29"/>
      <c r="AE55" s="33"/>
    </row>
    <row r="56" spans="1:29">
      <c r="A56" s="20" t="s">
        <v>1005</v>
      </c>
      <c r="C56" s="35">
        <v>0</v>
      </c>
      <c r="D56" s="35">
        <f t="shared" ref="D56:I56" si="59">D49</f>
        <v>0</v>
      </c>
      <c r="E56" s="35">
        <f t="shared" si="59"/>
        <v>0</v>
      </c>
      <c r="F56" s="35">
        <f t="shared" si="59"/>
        <v>0</v>
      </c>
      <c r="G56" s="35">
        <v>0</v>
      </c>
      <c r="H56" s="35">
        <f t="shared" si="59"/>
        <v>0</v>
      </c>
      <c r="I56" s="35">
        <f t="shared" si="59"/>
        <v>0</v>
      </c>
      <c r="K56" s="20">
        <f t="shared" si="54"/>
        <v>0</v>
      </c>
      <c r="N56" s="20">
        <v>17</v>
      </c>
      <c r="O56" s="20" t="s">
        <v>984</v>
      </c>
      <c r="P56" s="20">
        <f>L66</f>
        <v>0</v>
      </c>
      <c r="Q56" s="20">
        <f>L99</f>
        <v>0</v>
      </c>
      <c r="R56" s="22">
        <f>Q56/SUM(Q40:Q57)</f>
        <v>0</v>
      </c>
      <c r="U56" s="29"/>
      <c r="V56" s="29"/>
      <c r="W56" s="29"/>
      <c r="X56" s="29"/>
      <c r="Y56" s="29"/>
      <c r="Z56" s="29"/>
      <c r="AA56" s="29"/>
      <c r="AB56" s="29"/>
      <c r="AC56" s="29"/>
    </row>
    <row r="57" spans="1:29">
      <c r="A57" s="20" t="s">
        <v>978</v>
      </c>
      <c r="B57" s="20">
        <f>B38</f>
        <v>7</v>
      </c>
      <c r="C57" s="35">
        <v>0</v>
      </c>
      <c r="D57" s="35"/>
      <c r="E57" s="35">
        <f>E38</f>
        <v>0</v>
      </c>
      <c r="G57" s="35">
        <v>0</v>
      </c>
      <c r="H57" s="35"/>
      <c r="I57" s="35">
        <f>I38</f>
        <v>0</v>
      </c>
      <c r="K57" s="20">
        <f t="shared" si="54"/>
        <v>7</v>
      </c>
      <c r="N57" s="20">
        <v>18</v>
      </c>
      <c r="O57" s="20" t="s">
        <v>985</v>
      </c>
      <c r="P57" s="20">
        <f>L67</f>
        <v>0</v>
      </c>
      <c r="Q57" s="20">
        <f>L100</f>
        <v>0</v>
      </c>
      <c r="R57" s="22">
        <f>Q57/SUM(Q40:Q57)</f>
        <v>0</v>
      </c>
      <c r="U57" s="29"/>
      <c r="V57" s="29"/>
      <c r="W57" s="29"/>
      <c r="X57" s="29"/>
      <c r="Y57" s="29"/>
      <c r="Z57" s="29"/>
      <c r="AA57" s="29"/>
      <c r="AB57" s="29"/>
      <c r="AC57" s="29"/>
    </row>
    <row r="58" spans="1:29">
      <c r="A58" s="35" t="s">
        <v>979</v>
      </c>
      <c r="B58" s="35">
        <v>14</v>
      </c>
      <c r="C58" s="35">
        <v>0</v>
      </c>
      <c r="D58" s="35">
        <v>0</v>
      </c>
      <c r="E58" s="35"/>
      <c r="F58" s="35"/>
      <c r="G58" s="35">
        <v>0</v>
      </c>
      <c r="H58" s="35"/>
      <c r="I58" s="35"/>
      <c r="K58" s="20">
        <f t="shared" si="54"/>
        <v>14</v>
      </c>
      <c r="L58" s="20">
        <f>K58</f>
        <v>14</v>
      </c>
      <c r="U58" s="29"/>
      <c r="V58" s="29"/>
      <c r="W58" s="29"/>
      <c r="X58" s="29"/>
      <c r="Y58" s="29"/>
      <c r="Z58" s="29"/>
      <c r="AA58" s="29"/>
      <c r="AB58" s="29"/>
      <c r="AC58" s="29"/>
    </row>
    <row r="59" spans="1:21">
      <c r="A59" s="35" t="s">
        <v>364</v>
      </c>
      <c r="B59" s="35">
        <v>0</v>
      </c>
      <c r="C59" s="35">
        <v>0</v>
      </c>
      <c r="D59" s="35"/>
      <c r="E59" s="35"/>
      <c r="F59" s="35"/>
      <c r="G59" s="35">
        <v>0</v>
      </c>
      <c r="H59" s="35"/>
      <c r="I59" s="35"/>
      <c r="K59" s="20">
        <f t="shared" si="54"/>
        <v>0</v>
      </c>
      <c r="L59" s="20">
        <f t="shared" ref="L59:L67" si="60">K59</f>
        <v>0</v>
      </c>
      <c r="U59" s="29"/>
    </row>
    <row r="60" spans="1:21">
      <c r="A60" s="35" t="s">
        <v>980</v>
      </c>
      <c r="B60" s="35">
        <f>INT((属性计算面板!B9-按提示输入属性!D36*10-按提示输入属性!D37*4-属性计算面板!B20*15)/(10+1/('伤害统计(理想)'!O24)))*(额外增益统计!D157+额外增益统计!E157)</f>
        <v>16</v>
      </c>
      <c r="C60" s="35">
        <v>0</v>
      </c>
      <c r="D60" s="35">
        <f>INT((属性计算面板!B12*1)/(10+1/('伤害统计(理想)'!S24)))*(额外增益统计!D157+额外增益统计!E157)</f>
        <v>0</v>
      </c>
      <c r="E60" s="35">
        <f>INT((属性计算面板!B12*9)/(10+1/('伤害统计(理想)'!S24)))*(额外增益统计!D157+额外增益统计!E157)</f>
        <v>5</v>
      </c>
      <c r="F60" s="35">
        <f>INT((属性计算面板!B20*15)/(10+1/('伤害统计(理想)'!O24)))*(额外增益统计!D157+额外增益统计!E157)</f>
        <v>2</v>
      </c>
      <c r="G60" s="35">
        <v>0</v>
      </c>
      <c r="H60" s="35">
        <v>0</v>
      </c>
      <c r="I60" s="35">
        <v>0</v>
      </c>
      <c r="K60" s="20">
        <f t="shared" si="54"/>
        <v>23</v>
      </c>
      <c r="L60" s="20">
        <f t="shared" si="60"/>
        <v>23</v>
      </c>
      <c r="U60" s="29"/>
    </row>
    <row r="61" spans="1:21">
      <c r="A61" s="35" t="s">
        <v>981</v>
      </c>
      <c r="B61" s="35">
        <f>(INT((属性计算面板!B9-按提示输入属性!D36*10-按提示输入属性!D37*4-属性计算面板!B20*15)/(10+10/((SUM(B38:B59))/属性计算面板!B9))))*(额外增益统计!D153+额外增益统计!E153)</f>
        <v>14</v>
      </c>
      <c r="C61" s="35">
        <v>0</v>
      </c>
      <c r="D61" s="35">
        <f>(INT((按提示输入属性!D36*1)/(10+10/((SUM(D38:D59))/属性计算面板!B9))))*(额外增益统计!D153+额外增益统计!E153)</f>
        <v>0</v>
      </c>
      <c r="E61" s="35">
        <f>(INT((按提示输入属性!D36*9)/(10+10/((SUM(E38:E59))/属性计算面板!B9))))*(额外增益统计!D153+额外增益统计!E153)</f>
        <v>2</v>
      </c>
      <c r="F61" s="35"/>
      <c r="G61" s="35">
        <v>0</v>
      </c>
      <c r="H61" s="35">
        <v>0</v>
      </c>
      <c r="I61" s="35">
        <v>0</v>
      </c>
      <c r="K61" s="20">
        <f t="shared" si="54"/>
        <v>16</v>
      </c>
      <c r="L61" s="20">
        <f t="shared" si="60"/>
        <v>16</v>
      </c>
      <c r="U61" s="29"/>
    </row>
    <row r="62" spans="1:35">
      <c r="A62" s="35" t="s">
        <v>72</v>
      </c>
      <c r="B62" s="35">
        <f>按提示输入属性!D35</f>
        <v>0</v>
      </c>
      <c r="C62" s="35">
        <v>0</v>
      </c>
      <c r="D62" s="35"/>
      <c r="E62" s="35"/>
      <c r="F62" s="35"/>
      <c r="G62" s="35">
        <v>0</v>
      </c>
      <c r="H62" s="35"/>
      <c r="I62" s="35"/>
      <c r="K62" s="20">
        <f t="shared" si="54"/>
        <v>0</v>
      </c>
      <c r="L62" s="20">
        <f t="shared" si="60"/>
        <v>0</v>
      </c>
      <c r="AH62" s="33"/>
      <c r="AI62" s="33"/>
    </row>
    <row r="63" spans="1:12">
      <c r="A63" s="35" t="s">
        <v>70</v>
      </c>
      <c r="B63" s="35">
        <f>按提示输入属性!D34</f>
        <v>0</v>
      </c>
      <c r="C63" s="35">
        <v>0</v>
      </c>
      <c r="D63" s="35"/>
      <c r="E63" s="35"/>
      <c r="F63" s="35"/>
      <c r="G63" s="35">
        <v>0</v>
      </c>
      <c r="H63" s="35"/>
      <c r="I63" s="35"/>
      <c r="K63" s="20">
        <f t="shared" si="54"/>
        <v>0</v>
      </c>
      <c r="L63" s="20">
        <f t="shared" si="60"/>
        <v>0</v>
      </c>
    </row>
    <row r="64" spans="1:33">
      <c r="A64" s="35" t="s">
        <v>982</v>
      </c>
      <c r="B64" s="35">
        <f>按提示输入属性!D34*6</f>
        <v>0</v>
      </c>
      <c r="C64" s="35">
        <v>0</v>
      </c>
      <c r="D64" s="35"/>
      <c r="E64" s="35"/>
      <c r="F64" s="35"/>
      <c r="G64" s="35">
        <v>0</v>
      </c>
      <c r="H64" s="35"/>
      <c r="I64" s="35"/>
      <c r="K64" s="20">
        <f t="shared" si="54"/>
        <v>0</v>
      </c>
      <c r="L64" s="20">
        <f t="shared" si="60"/>
        <v>0</v>
      </c>
      <c r="AG64" s="33"/>
    </row>
    <row r="65" spans="1:12">
      <c r="A65" s="35" t="s">
        <v>983</v>
      </c>
      <c r="B65" s="35">
        <f>额外增益统计!F108*额外增益统计!H108*3</f>
        <v>0</v>
      </c>
      <c r="C65" s="35">
        <v>0</v>
      </c>
      <c r="D65" s="35"/>
      <c r="E65" s="35">
        <f>额外增益统计!D108*额外增益统计!H108*3</f>
        <v>0</v>
      </c>
      <c r="F65" s="35"/>
      <c r="G65" s="35">
        <v>0</v>
      </c>
      <c r="H65" s="35"/>
      <c r="I65" s="35"/>
      <c r="K65" s="20">
        <f>额外增益统计!F108*额外增益统计!H108+额外增益统计!D108*额外增益统计!H108</f>
        <v>0</v>
      </c>
      <c r="L65" s="20">
        <f t="shared" si="60"/>
        <v>0</v>
      </c>
    </row>
    <row r="66" spans="1:12">
      <c r="A66" s="35" t="s">
        <v>984</v>
      </c>
      <c r="B66" s="35"/>
      <c r="C66" s="35">
        <v>0</v>
      </c>
      <c r="D66" s="35"/>
      <c r="E66" s="35">
        <v>0</v>
      </c>
      <c r="F66" s="35"/>
      <c r="G66" s="35">
        <v>0</v>
      </c>
      <c r="H66" s="35"/>
      <c r="I66" s="35">
        <v>0</v>
      </c>
      <c r="K66" s="20">
        <f t="shared" si="54"/>
        <v>0</v>
      </c>
      <c r="L66" s="20">
        <f t="shared" si="60"/>
        <v>0</v>
      </c>
    </row>
    <row r="67" spans="1:12">
      <c r="A67" s="20" t="s">
        <v>985</v>
      </c>
      <c r="B67" s="20">
        <f>INT(B46*0.25)*按提示输入属性!D42</f>
        <v>0</v>
      </c>
      <c r="C67" s="20">
        <f t="shared" ref="C67:I67" si="61">INT(C46*0.25)</f>
        <v>0</v>
      </c>
      <c r="D67" s="20">
        <f>INT(D46*0.25)*按提示输入属性!D42</f>
        <v>0</v>
      </c>
      <c r="E67" s="20">
        <f>INT(E46*0.25)*按提示输入属性!D42</f>
        <v>0</v>
      </c>
      <c r="F67" s="20">
        <f t="shared" si="61"/>
        <v>0</v>
      </c>
      <c r="G67" s="20">
        <f t="shared" si="61"/>
        <v>0</v>
      </c>
      <c r="H67" s="20">
        <f t="shared" si="61"/>
        <v>0</v>
      </c>
      <c r="I67" s="20">
        <f>INT(I46*0.25)*按提示输入属性!D42</f>
        <v>0</v>
      </c>
      <c r="K67" s="20">
        <f t="shared" si="54"/>
        <v>0</v>
      </c>
      <c r="L67" s="20">
        <f t="shared" si="60"/>
        <v>0</v>
      </c>
    </row>
    <row r="68" spans="1:1">
      <c r="A68" s="20" t="s">
        <v>986</v>
      </c>
    </row>
    <row r="69" spans="33:33">
      <c r="AG69" s="33"/>
    </row>
    <row r="70" spans="2:12">
      <c r="B70" s="20" t="s">
        <v>365</v>
      </c>
      <c r="C70" s="20" t="s">
        <v>987</v>
      </c>
      <c r="D70" s="20" t="s">
        <v>988</v>
      </c>
      <c r="E70" s="20" t="s">
        <v>989</v>
      </c>
      <c r="F70" s="20" t="s">
        <v>990</v>
      </c>
      <c r="G70" s="20" t="s">
        <v>991</v>
      </c>
      <c r="H70" s="20" t="s">
        <v>992</v>
      </c>
      <c r="I70" s="20" t="s">
        <v>993</v>
      </c>
      <c r="L70" s="20" t="s">
        <v>996</v>
      </c>
    </row>
    <row r="71" spans="1:12">
      <c r="A71" s="20" t="s">
        <v>959</v>
      </c>
      <c r="B71" s="20">
        <f>(AC2*(1-Q2)+AF2*Q2)*B38</f>
        <v>4554092.0068</v>
      </c>
      <c r="C71" s="20">
        <f>(AI2*(1-S2)+AJ2*S2)*C38</f>
        <v>0</v>
      </c>
      <c r="D71" s="20">
        <f>(AD2*(1-S2)+AG2*S2)*D38</f>
        <v>0</v>
      </c>
      <c r="E71" s="20">
        <f>(AD2*(1-S2)+AM2*S2)*E38</f>
        <v>0</v>
      </c>
      <c r="F71" s="20">
        <f>(AE2*(1-Q2)+AH2*Q2)*F38</f>
        <v>0</v>
      </c>
      <c r="G71" s="20">
        <f>(AK2*(1-S2)+AL2*S2)*G38</f>
        <v>0</v>
      </c>
      <c r="H71" s="20">
        <f>(AE2*(1-S2)+AH2*S2)*H38</f>
        <v>0</v>
      </c>
      <c r="I71" s="20">
        <f>(AE2*(1-S2)+AN2*S2)*I38</f>
        <v>0</v>
      </c>
      <c r="K71" s="20">
        <f>INT(SUM(B71:I71))</f>
        <v>4554092</v>
      </c>
      <c r="L71" s="20">
        <f>K71</f>
        <v>4554092</v>
      </c>
    </row>
    <row r="72" spans="1:12">
      <c r="A72" s="20" t="s">
        <v>960</v>
      </c>
      <c r="B72" s="20">
        <f t="shared" ref="B72:B100" si="62">(AC3*(1-Q3)+AF3*Q3)*B39</f>
        <v>7547237.874</v>
      </c>
      <c r="C72" s="20">
        <f t="shared" ref="C72:C100" si="63">(AI3*(1-S3)+AJ3*S3)*C39</f>
        <v>0</v>
      </c>
      <c r="D72" s="20">
        <f t="shared" ref="D72:D100" si="64">(AD3*(1-S3)+AG3*S3)*D39</f>
        <v>675606.835</v>
      </c>
      <c r="E72" s="20">
        <f t="shared" ref="E72:E100" si="65">(AD3*(1-S3)+AM3*S3)*E39</f>
        <v>1449727.42</v>
      </c>
      <c r="F72" s="20">
        <f t="shared" ref="F72:F100" si="66">(AE3*(1-Q3)+AH3*Q3)*F39</f>
        <v>273141.9456</v>
      </c>
      <c r="G72" s="20">
        <f t="shared" ref="G72:G100" si="67">(AK3*(1-S3)+AL3*S3)*G39</f>
        <v>0</v>
      </c>
      <c r="H72" s="20">
        <f t="shared" ref="H72:H100" si="68">(AE3*(1-S3)+AH3*S3)*H39</f>
        <v>335002.744</v>
      </c>
      <c r="I72" s="20">
        <f t="shared" ref="I72:I100" si="69">(AE3*(1-S3)+AN3*S3)*I39</f>
        <v>626412.596</v>
      </c>
      <c r="K72" s="20">
        <f t="shared" ref="K72:K100" si="70">INT(SUM(B72:I72))</f>
        <v>10907129</v>
      </c>
      <c r="L72" s="20">
        <f>SUM(K72:K76)</f>
        <v>67946513</v>
      </c>
    </row>
    <row r="73" spans="1:11">
      <c r="A73" s="20" t="s">
        <v>961</v>
      </c>
      <c r="B73" s="20">
        <f t="shared" si="62"/>
        <v>8475316.443</v>
      </c>
      <c r="C73" s="20">
        <f t="shared" si="63"/>
        <v>0</v>
      </c>
      <c r="D73" s="20">
        <f t="shared" si="64"/>
        <v>758670.305</v>
      </c>
      <c r="E73" s="20">
        <f t="shared" si="65"/>
        <v>1627973.41</v>
      </c>
      <c r="F73" s="20">
        <f t="shared" si="66"/>
        <v>306728.2484</v>
      </c>
      <c r="G73" s="20">
        <f t="shared" si="67"/>
        <v>0</v>
      </c>
      <c r="H73" s="20">
        <f t="shared" si="68"/>
        <v>376195.691</v>
      </c>
      <c r="I73" s="20">
        <f t="shared" si="69"/>
        <v>703439.342</v>
      </c>
      <c r="K73" s="20">
        <f t="shared" si="70"/>
        <v>12248323</v>
      </c>
    </row>
    <row r="74" spans="1:11">
      <c r="A74" s="20" t="s">
        <v>962</v>
      </c>
      <c r="B74" s="20">
        <f t="shared" si="62"/>
        <v>9403197.1308</v>
      </c>
      <c r="C74" s="20">
        <f t="shared" si="63"/>
        <v>0</v>
      </c>
      <c r="D74" s="20">
        <f t="shared" si="64"/>
        <v>841737.4925</v>
      </c>
      <c r="E74" s="20">
        <f t="shared" si="65"/>
        <v>1806219.4</v>
      </c>
      <c r="F74" s="20">
        <f t="shared" si="66"/>
        <v>340310.5536</v>
      </c>
      <c r="G74" s="20">
        <f t="shared" si="67"/>
        <v>0</v>
      </c>
      <c r="H74" s="20">
        <f t="shared" si="68"/>
        <v>417383.664</v>
      </c>
      <c r="I74" s="20">
        <f t="shared" si="69"/>
        <v>780453.166</v>
      </c>
      <c r="K74" s="20">
        <f t="shared" si="70"/>
        <v>13589301</v>
      </c>
    </row>
    <row r="75" spans="1:11">
      <c r="A75" s="20" t="s">
        <v>963</v>
      </c>
      <c r="B75" s="20">
        <f t="shared" si="62"/>
        <v>10331077.8186</v>
      </c>
      <c r="C75" s="20">
        <f t="shared" si="63"/>
        <v>0</v>
      </c>
      <c r="D75" s="20">
        <f t="shared" si="64"/>
        <v>924804.68</v>
      </c>
      <c r="E75" s="20">
        <f t="shared" si="65"/>
        <v>1984472.825</v>
      </c>
      <c r="F75" s="20">
        <f t="shared" si="66"/>
        <v>373892.8588</v>
      </c>
      <c r="G75" s="20">
        <f t="shared" si="67"/>
        <v>0</v>
      </c>
      <c r="H75" s="20">
        <f t="shared" si="68"/>
        <v>458571.637</v>
      </c>
      <c r="I75" s="20">
        <f t="shared" si="69"/>
        <v>857469.964</v>
      </c>
      <c r="K75" s="20">
        <f t="shared" si="70"/>
        <v>14930289</v>
      </c>
    </row>
    <row r="76" spans="1:11">
      <c r="A76" s="20" t="s">
        <v>964</v>
      </c>
      <c r="B76" s="20">
        <f t="shared" si="62"/>
        <v>11259156.3876</v>
      </c>
      <c r="C76" s="20">
        <f t="shared" si="63"/>
        <v>0</v>
      </c>
      <c r="D76" s="20">
        <f t="shared" si="64"/>
        <v>1007871.8675</v>
      </c>
      <c r="E76" s="20">
        <f t="shared" si="65"/>
        <v>2162718.815</v>
      </c>
      <c r="F76" s="20">
        <f t="shared" si="66"/>
        <v>407476.1628</v>
      </c>
      <c r="G76" s="20">
        <f t="shared" si="67"/>
        <v>0</v>
      </c>
      <c r="H76" s="20">
        <f t="shared" si="68"/>
        <v>499761.097</v>
      </c>
      <c r="I76" s="20">
        <f t="shared" si="69"/>
        <v>934486.762</v>
      </c>
      <c r="K76" s="20">
        <f t="shared" si="70"/>
        <v>16271471</v>
      </c>
    </row>
    <row r="77" spans="1:12">
      <c r="A77" s="20" t="s">
        <v>965</v>
      </c>
      <c r="B77" s="20">
        <f t="shared" si="62"/>
        <v>2028959.0328</v>
      </c>
      <c r="C77" s="20">
        <f t="shared" si="63"/>
        <v>0</v>
      </c>
      <c r="D77" s="20">
        <f t="shared" si="64"/>
        <v>0</v>
      </c>
      <c r="E77" s="20">
        <f t="shared" si="65"/>
        <v>13674475.75</v>
      </c>
      <c r="F77" s="20">
        <f t="shared" si="66"/>
        <v>0</v>
      </c>
      <c r="G77" s="20">
        <f t="shared" si="67"/>
        <v>0</v>
      </c>
      <c r="H77" s="20">
        <f t="shared" si="68"/>
        <v>0</v>
      </c>
      <c r="I77" s="20">
        <f t="shared" si="69"/>
        <v>5908579.56</v>
      </c>
      <c r="K77" s="20">
        <f t="shared" si="70"/>
        <v>21612014</v>
      </c>
      <c r="L77" s="20">
        <f>K77*按提示输入属性!D64</f>
        <v>21612014</v>
      </c>
    </row>
    <row r="78" spans="1:12">
      <c r="A78" s="35" t="s">
        <v>966</v>
      </c>
      <c r="B78" s="20">
        <f t="shared" si="62"/>
        <v>370682.0712</v>
      </c>
      <c r="C78" s="20">
        <f t="shared" si="63"/>
        <v>0</v>
      </c>
      <c r="D78" s="20">
        <f t="shared" si="64"/>
        <v>0</v>
      </c>
      <c r="E78" s="20">
        <f t="shared" si="65"/>
        <v>0</v>
      </c>
      <c r="F78" s="20">
        <f t="shared" si="66"/>
        <v>0</v>
      </c>
      <c r="G78" s="20">
        <f t="shared" si="67"/>
        <v>0</v>
      </c>
      <c r="H78" s="20">
        <f t="shared" si="68"/>
        <v>0</v>
      </c>
      <c r="I78" s="20">
        <f t="shared" si="69"/>
        <v>0</v>
      </c>
      <c r="K78" s="20">
        <f t="shared" si="70"/>
        <v>370682</v>
      </c>
      <c r="L78" s="20">
        <f>K78</f>
        <v>370682</v>
      </c>
    </row>
    <row r="79" spans="1:12">
      <c r="A79" s="20" t="s">
        <v>967</v>
      </c>
      <c r="B79" s="20">
        <f t="shared" si="62"/>
        <v>13172937.6156</v>
      </c>
      <c r="C79" s="20">
        <f t="shared" si="63"/>
        <v>0</v>
      </c>
      <c r="D79" s="20">
        <f t="shared" si="64"/>
        <v>2766624.8475</v>
      </c>
      <c r="E79" s="20">
        <f t="shared" si="65"/>
        <v>5960667.21</v>
      </c>
      <c r="F79" s="20">
        <f t="shared" si="66"/>
        <v>1083603.1536</v>
      </c>
      <c r="G79" s="20">
        <f t="shared" si="67"/>
        <v>0</v>
      </c>
      <c r="H79" s="20">
        <f t="shared" si="68"/>
        <v>1290000.444</v>
      </c>
      <c r="I79" s="20">
        <f t="shared" si="69"/>
        <v>2575557.624</v>
      </c>
      <c r="K79" s="20">
        <f t="shared" si="70"/>
        <v>26849390</v>
      </c>
      <c r="L79" s="20">
        <f>K79</f>
        <v>26849390</v>
      </c>
    </row>
    <row r="80" spans="1:12">
      <c r="A80" s="20" t="s">
        <v>1001</v>
      </c>
      <c r="B80" s="20">
        <f t="shared" si="62"/>
        <v>11124619.1028</v>
      </c>
      <c r="C80" s="20">
        <f t="shared" si="63"/>
        <v>0</v>
      </c>
      <c r="D80" s="20">
        <f t="shared" si="64"/>
        <v>2327833.7725</v>
      </c>
      <c r="E80" s="20">
        <f t="shared" si="65"/>
        <v>7506076.23</v>
      </c>
      <c r="F80" s="20">
        <f t="shared" si="66"/>
        <v>898781.4688</v>
      </c>
      <c r="G80" s="20">
        <f t="shared" si="67"/>
        <v>0</v>
      </c>
      <c r="H80" s="20">
        <f t="shared" si="68"/>
        <v>1082918.792</v>
      </c>
      <c r="I80" s="20">
        <f t="shared" si="69"/>
        <v>3243322.02</v>
      </c>
      <c r="K80" s="20">
        <f t="shared" si="70"/>
        <v>26183551</v>
      </c>
      <c r="L80" s="20">
        <f>SUM(K80:K82)</f>
        <v>28818379</v>
      </c>
    </row>
    <row r="81" spans="1:11">
      <c r="A81" s="20" t="s">
        <v>969</v>
      </c>
      <c r="B81" s="20">
        <f t="shared" si="62"/>
        <v>2634828.1944</v>
      </c>
      <c r="C81" s="20">
        <f t="shared" si="63"/>
        <v>0</v>
      </c>
      <c r="D81" s="20">
        <f t="shared" si="64"/>
        <v>0</v>
      </c>
      <c r="E81" s="20">
        <f t="shared" si="65"/>
        <v>0</v>
      </c>
      <c r="F81" s="20">
        <f t="shared" si="66"/>
        <v>0</v>
      </c>
      <c r="G81" s="20">
        <f t="shared" si="67"/>
        <v>0</v>
      </c>
      <c r="H81" s="20">
        <f t="shared" si="68"/>
        <v>0</v>
      </c>
      <c r="I81" s="20">
        <f t="shared" si="69"/>
        <v>0</v>
      </c>
      <c r="K81" s="20">
        <f t="shared" si="70"/>
        <v>2634828</v>
      </c>
    </row>
    <row r="82" spans="1:11">
      <c r="A82" s="20" t="s">
        <v>970</v>
      </c>
      <c r="B82" s="20">
        <f t="shared" si="62"/>
        <v>0</v>
      </c>
      <c r="C82" s="20">
        <f t="shared" si="63"/>
        <v>0</v>
      </c>
      <c r="D82" s="20">
        <f t="shared" si="64"/>
        <v>0</v>
      </c>
      <c r="E82" s="20">
        <f t="shared" si="65"/>
        <v>0</v>
      </c>
      <c r="F82" s="20">
        <f t="shared" si="66"/>
        <v>0</v>
      </c>
      <c r="G82" s="20">
        <f t="shared" si="67"/>
        <v>0</v>
      </c>
      <c r="H82" s="20">
        <f t="shared" si="68"/>
        <v>0</v>
      </c>
      <c r="I82" s="20">
        <f t="shared" si="69"/>
        <v>0</v>
      </c>
      <c r="K82" s="20">
        <f t="shared" si="70"/>
        <v>0</v>
      </c>
    </row>
    <row r="83" spans="1:12">
      <c r="A83" s="35" t="s">
        <v>971</v>
      </c>
      <c r="B83" s="20">
        <f t="shared" si="62"/>
        <v>1078653.849</v>
      </c>
      <c r="C83" s="20">
        <f t="shared" si="63"/>
        <v>0</v>
      </c>
      <c r="D83" s="20">
        <f t="shared" si="64"/>
        <v>0</v>
      </c>
      <c r="E83" s="20">
        <f t="shared" si="65"/>
        <v>0</v>
      </c>
      <c r="F83" s="20">
        <f t="shared" si="66"/>
        <v>0</v>
      </c>
      <c r="G83" s="20">
        <f t="shared" si="67"/>
        <v>0</v>
      </c>
      <c r="H83" s="20">
        <f t="shared" si="68"/>
        <v>0</v>
      </c>
      <c r="I83" s="20">
        <f t="shared" si="69"/>
        <v>0</v>
      </c>
      <c r="K83" s="20">
        <f t="shared" si="70"/>
        <v>1078653</v>
      </c>
      <c r="L83" s="20">
        <f>SUM(K83:K87)</f>
        <v>13289482</v>
      </c>
    </row>
    <row r="84" spans="1:11">
      <c r="A84" s="35" t="s">
        <v>972</v>
      </c>
      <c r="B84" s="20">
        <f t="shared" si="62"/>
        <v>672087.4704</v>
      </c>
      <c r="C84" s="20">
        <f t="shared" si="63"/>
        <v>0</v>
      </c>
      <c r="D84" s="20">
        <f t="shared" si="64"/>
        <v>0</v>
      </c>
      <c r="E84" s="20">
        <f t="shared" si="65"/>
        <v>1065483.2475</v>
      </c>
      <c r="F84" s="20">
        <f t="shared" si="66"/>
        <v>0</v>
      </c>
      <c r="G84" s="20">
        <f t="shared" si="67"/>
        <v>0</v>
      </c>
      <c r="H84" s="20">
        <f t="shared" si="68"/>
        <v>0</v>
      </c>
      <c r="I84" s="20">
        <f t="shared" si="69"/>
        <v>460384.283</v>
      </c>
      <c r="K84" s="20">
        <f t="shared" si="70"/>
        <v>2197955</v>
      </c>
    </row>
    <row r="85" spans="1:11">
      <c r="A85" s="35" t="s">
        <v>973</v>
      </c>
      <c r="B85" s="20">
        <f t="shared" si="62"/>
        <v>846325.7064</v>
      </c>
      <c r="C85" s="20">
        <f t="shared" si="63"/>
        <v>0</v>
      </c>
      <c r="D85" s="20">
        <f t="shared" si="64"/>
        <v>0</v>
      </c>
      <c r="E85" s="20">
        <f t="shared" si="65"/>
        <v>1341707.305</v>
      </c>
      <c r="F85" s="20">
        <f t="shared" si="66"/>
        <v>0</v>
      </c>
      <c r="G85" s="20">
        <f t="shared" si="67"/>
        <v>0</v>
      </c>
      <c r="H85" s="20">
        <f t="shared" si="68"/>
        <v>0</v>
      </c>
      <c r="I85" s="20">
        <f t="shared" si="69"/>
        <v>579743.644</v>
      </c>
      <c r="K85" s="20">
        <f t="shared" si="70"/>
        <v>2767776</v>
      </c>
    </row>
    <row r="86" spans="1:11">
      <c r="A86" s="35" t="s">
        <v>974</v>
      </c>
      <c r="B86" s="20">
        <f t="shared" si="62"/>
        <v>1020575.9352</v>
      </c>
      <c r="C86" s="20">
        <f t="shared" si="63"/>
        <v>0</v>
      </c>
      <c r="D86" s="20">
        <f t="shared" si="64"/>
        <v>0</v>
      </c>
      <c r="E86" s="20">
        <f t="shared" si="65"/>
        <v>1617947.515</v>
      </c>
      <c r="F86" s="20">
        <f t="shared" si="66"/>
        <v>0</v>
      </c>
      <c r="G86" s="20">
        <f t="shared" si="67"/>
        <v>0</v>
      </c>
      <c r="H86" s="20">
        <f t="shared" si="68"/>
        <v>0</v>
      </c>
      <c r="I86" s="20">
        <f t="shared" si="69"/>
        <v>699105.005</v>
      </c>
      <c r="K86" s="20">
        <f t="shared" si="70"/>
        <v>3337628</v>
      </c>
    </row>
    <row r="87" spans="1:11">
      <c r="A87" s="35" t="s">
        <v>975</v>
      </c>
      <c r="B87" s="20">
        <f t="shared" si="62"/>
        <v>1194823.1676</v>
      </c>
      <c r="C87" s="20">
        <f t="shared" si="63"/>
        <v>0</v>
      </c>
      <c r="D87" s="20">
        <f t="shared" si="64"/>
        <v>0</v>
      </c>
      <c r="E87" s="20">
        <f t="shared" si="65"/>
        <v>1894184.0075</v>
      </c>
      <c r="F87" s="20">
        <f t="shared" si="66"/>
        <v>0</v>
      </c>
      <c r="G87" s="20">
        <f t="shared" si="67"/>
        <v>0</v>
      </c>
      <c r="H87" s="20">
        <f t="shared" si="68"/>
        <v>0</v>
      </c>
      <c r="I87" s="20">
        <f t="shared" si="69"/>
        <v>818462.879</v>
      </c>
      <c r="K87" s="20">
        <f t="shared" si="70"/>
        <v>3907470</v>
      </c>
    </row>
    <row r="88" spans="1:12">
      <c r="A88" s="20" t="s">
        <v>976</v>
      </c>
      <c r="B88" s="20">
        <f t="shared" si="62"/>
        <v>27285313.6548</v>
      </c>
      <c r="C88" s="20">
        <f t="shared" si="63"/>
        <v>0</v>
      </c>
      <c r="D88" s="20">
        <f t="shared" si="64"/>
        <v>3258513.1525</v>
      </c>
      <c r="E88" s="20">
        <f t="shared" si="65"/>
        <v>10488284.58</v>
      </c>
      <c r="F88" s="20">
        <f t="shared" si="66"/>
        <v>1248448.462</v>
      </c>
      <c r="G88" s="20">
        <f t="shared" si="67"/>
        <v>0</v>
      </c>
      <c r="H88" s="20">
        <f t="shared" si="68"/>
        <v>1513109.005</v>
      </c>
      <c r="I88" s="20">
        <f t="shared" si="69"/>
        <v>4531912.833</v>
      </c>
      <c r="K88" s="20">
        <f t="shared" si="70"/>
        <v>48325581</v>
      </c>
      <c r="L88" s="20">
        <f>SUM(K88:K90)</f>
        <v>50882445</v>
      </c>
    </row>
    <row r="89" spans="1:11">
      <c r="A89" s="20" t="s">
        <v>977</v>
      </c>
      <c r="B89" s="20">
        <f t="shared" si="62"/>
        <v>0</v>
      </c>
      <c r="C89" s="20">
        <f t="shared" si="63"/>
        <v>0</v>
      </c>
      <c r="D89" s="20">
        <f t="shared" si="64"/>
        <v>0</v>
      </c>
      <c r="E89" s="20">
        <f t="shared" si="65"/>
        <v>0</v>
      </c>
      <c r="F89" s="20">
        <f t="shared" si="66"/>
        <v>0</v>
      </c>
      <c r="G89" s="20">
        <f t="shared" si="67"/>
        <v>0</v>
      </c>
      <c r="H89" s="20">
        <f t="shared" si="68"/>
        <v>0</v>
      </c>
      <c r="I89" s="20">
        <f t="shared" si="69"/>
        <v>0</v>
      </c>
      <c r="K89" s="20">
        <f t="shared" si="70"/>
        <v>0</v>
      </c>
    </row>
    <row r="90" spans="1:11">
      <c r="A90" s="20" t="s">
        <v>978</v>
      </c>
      <c r="B90" s="20">
        <f t="shared" si="62"/>
        <v>2556864.5424</v>
      </c>
      <c r="C90" s="20">
        <f t="shared" si="63"/>
        <v>0</v>
      </c>
      <c r="D90" s="20">
        <f t="shared" si="64"/>
        <v>0</v>
      </c>
      <c r="E90" s="20">
        <f t="shared" si="65"/>
        <v>0</v>
      </c>
      <c r="F90" s="20">
        <f t="shared" si="66"/>
        <v>0</v>
      </c>
      <c r="G90" s="20">
        <f t="shared" si="67"/>
        <v>0</v>
      </c>
      <c r="H90" s="20">
        <f t="shared" si="68"/>
        <v>0</v>
      </c>
      <c r="I90" s="20">
        <f t="shared" si="69"/>
        <v>0</v>
      </c>
      <c r="K90" s="20">
        <f t="shared" si="70"/>
        <v>2556864</v>
      </c>
    </row>
    <row r="91" spans="1:12">
      <c r="A91" s="35" t="s">
        <v>979</v>
      </c>
      <c r="B91" s="20">
        <f t="shared" si="62"/>
        <v>110917.044</v>
      </c>
      <c r="C91" s="20">
        <f t="shared" si="63"/>
        <v>0</v>
      </c>
      <c r="D91" s="20">
        <f t="shared" si="64"/>
        <v>0</v>
      </c>
      <c r="E91" s="20">
        <f t="shared" si="65"/>
        <v>0</v>
      </c>
      <c r="F91" s="20">
        <f t="shared" si="66"/>
        <v>0</v>
      </c>
      <c r="G91" s="20">
        <f t="shared" si="67"/>
        <v>0</v>
      </c>
      <c r="H91" s="20">
        <f t="shared" si="68"/>
        <v>0</v>
      </c>
      <c r="I91" s="20">
        <f t="shared" si="69"/>
        <v>0</v>
      </c>
      <c r="K91" s="20">
        <f t="shared" si="70"/>
        <v>110917</v>
      </c>
      <c r="L91" s="20">
        <f t="shared" ref="L91:L100" si="71">K91</f>
        <v>110917</v>
      </c>
    </row>
    <row r="92" spans="1:12">
      <c r="A92" s="35" t="s">
        <v>364</v>
      </c>
      <c r="B92" s="20">
        <f t="shared" si="62"/>
        <v>0</v>
      </c>
      <c r="C92" s="20">
        <f t="shared" si="63"/>
        <v>0</v>
      </c>
      <c r="D92" s="20">
        <f t="shared" si="64"/>
        <v>0</v>
      </c>
      <c r="E92" s="20">
        <f t="shared" si="65"/>
        <v>0</v>
      </c>
      <c r="F92" s="20">
        <f t="shared" si="66"/>
        <v>0</v>
      </c>
      <c r="G92" s="20">
        <f t="shared" si="67"/>
        <v>0</v>
      </c>
      <c r="H92" s="20">
        <f t="shared" si="68"/>
        <v>0</v>
      </c>
      <c r="I92" s="20">
        <f t="shared" si="69"/>
        <v>0</v>
      </c>
      <c r="K92" s="20">
        <f t="shared" si="70"/>
        <v>0</v>
      </c>
      <c r="L92" s="20">
        <f t="shared" si="71"/>
        <v>0</v>
      </c>
    </row>
    <row r="93" spans="1:12">
      <c r="A93" s="35" t="s">
        <v>980</v>
      </c>
      <c r="B93" s="20">
        <f t="shared" si="62"/>
        <v>405436.3616</v>
      </c>
      <c r="C93" s="20">
        <f t="shared" si="63"/>
        <v>0</v>
      </c>
      <c r="D93" s="20">
        <f t="shared" si="64"/>
        <v>0</v>
      </c>
      <c r="E93" s="20">
        <f t="shared" si="65"/>
        <v>240914.53</v>
      </c>
      <c r="F93" s="20">
        <f t="shared" si="66"/>
        <v>86033.1704</v>
      </c>
      <c r="G93" s="20">
        <f t="shared" si="67"/>
        <v>0</v>
      </c>
      <c r="H93" s="20">
        <f t="shared" si="68"/>
        <v>0</v>
      </c>
      <c r="I93" s="20">
        <f t="shared" si="69"/>
        <v>0</v>
      </c>
      <c r="K93" s="20">
        <f t="shared" si="70"/>
        <v>732384</v>
      </c>
      <c r="L93" s="20">
        <f t="shared" si="71"/>
        <v>732384</v>
      </c>
    </row>
    <row r="94" spans="1:12">
      <c r="A94" s="35" t="s">
        <v>981</v>
      </c>
      <c r="B94" s="20">
        <f t="shared" si="62"/>
        <v>637430.1416</v>
      </c>
      <c r="C94" s="20">
        <f t="shared" si="63"/>
        <v>0</v>
      </c>
      <c r="D94" s="20">
        <f t="shared" si="64"/>
        <v>0</v>
      </c>
      <c r="E94" s="20">
        <f t="shared" si="65"/>
        <v>173237.286</v>
      </c>
      <c r="F94" s="20">
        <f t="shared" si="66"/>
        <v>0</v>
      </c>
      <c r="G94" s="20">
        <f t="shared" si="67"/>
        <v>0</v>
      </c>
      <c r="H94" s="20">
        <f t="shared" si="68"/>
        <v>0</v>
      </c>
      <c r="I94" s="20">
        <f t="shared" si="69"/>
        <v>0</v>
      </c>
      <c r="K94" s="20">
        <f t="shared" si="70"/>
        <v>810667</v>
      </c>
      <c r="L94" s="20">
        <f t="shared" si="71"/>
        <v>810667</v>
      </c>
    </row>
    <row r="95" spans="1:12">
      <c r="A95" s="35" t="s">
        <v>72</v>
      </c>
      <c r="B95" s="20">
        <f t="shared" si="62"/>
        <v>0</v>
      </c>
      <c r="C95" s="20">
        <f t="shared" si="63"/>
        <v>0</v>
      </c>
      <c r="D95" s="20">
        <f t="shared" si="64"/>
        <v>0</v>
      </c>
      <c r="E95" s="20">
        <f t="shared" si="65"/>
        <v>0</v>
      </c>
      <c r="F95" s="20">
        <f t="shared" si="66"/>
        <v>0</v>
      </c>
      <c r="G95" s="20">
        <f t="shared" si="67"/>
        <v>0</v>
      </c>
      <c r="H95" s="20">
        <f t="shared" si="68"/>
        <v>0</v>
      </c>
      <c r="I95" s="20">
        <f t="shared" si="69"/>
        <v>0</v>
      </c>
      <c r="K95" s="20">
        <f t="shared" si="70"/>
        <v>0</v>
      </c>
      <c r="L95" s="20">
        <f t="shared" si="71"/>
        <v>0</v>
      </c>
    </row>
    <row r="96" spans="1:12">
      <c r="A96" s="35" t="s">
        <v>70</v>
      </c>
      <c r="B96" s="20">
        <f t="shared" si="62"/>
        <v>0</v>
      </c>
      <c r="C96" s="20">
        <f t="shared" si="63"/>
        <v>0</v>
      </c>
      <c r="D96" s="20">
        <f t="shared" si="64"/>
        <v>0</v>
      </c>
      <c r="E96" s="20">
        <f t="shared" si="65"/>
        <v>0</v>
      </c>
      <c r="F96" s="20">
        <f t="shared" si="66"/>
        <v>0</v>
      </c>
      <c r="G96" s="20">
        <f t="shared" si="67"/>
        <v>0</v>
      </c>
      <c r="H96" s="20">
        <f t="shared" si="68"/>
        <v>0</v>
      </c>
      <c r="I96" s="20">
        <f t="shared" si="69"/>
        <v>0</v>
      </c>
      <c r="K96" s="20">
        <f t="shared" si="70"/>
        <v>0</v>
      </c>
      <c r="L96" s="20">
        <f t="shared" si="71"/>
        <v>0</v>
      </c>
    </row>
    <row r="97" spans="1:12">
      <c r="A97" s="35" t="s">
        <v>982</v>
      </c>
      <c r="B97" s="20">
        <f t="shared" si="62"/>
        <v>0</v>
      </c>
      <c r="C97" s="20">
        <f t="shared" si="63"/>
        <v>0</v>
      </c>
      <c r="D97" s="20">
        <f t="shared" si="64"/>
        <v>0</v>
      </c>
      <c r="E97" s="20">
        <f t="shared" si="65"/>
        <v>0</v>
      </c>
      <c r="F97" s="20">
        <f t="shared" si="66"/>
        <v>0</v>
      </c>
      <c r="G97" s="20">
        <f t="shared" si="67"/>
        <v>0</v>
      </c>
      <c r="H97" s="20">
        <f t="shared" si="68"/>
        <v>0</v>
      </c>
      <c r="I97" s="20">
        <f t="shared" si="69"/>
        <v>0</v>
      </c>
      <c r="K97" s="20">
        <f t="shared" si="70"/>
        <v>0</v>
      </c>
      <c r="L97" s="20">
        <f t="shared" si="71"/>
        <v>0</v>
      </c>
    </row>
    <row r="98" spans="1:12">
      <c r="A98" s="20" t="s">
        <v>983</v>
      </c>
      <c r="B98" s="20">
        <f t="shared" si="62"/>
        <v>0</v>
      </c>
      <c r="C98" s="20">
        <f t="shared" si="63"/>
        <v>0</v>
      </c>
      <c r="D98" s="20">
        <f t="shared" si="64"/>
        <v>0</v>
      </c>
      <c r="E98" s="20">
        <f t="shared" si="65"/>
        <v>0</v>
      </c>
      <c r="F98" s="20">
        <f t="shared" si="66"/>
        <v>0</v>
      </c>
      <c r="G98" s="20">
        <f t="shared" si="67"/>
        <v>0</v>
      </c>
      <c r="H98" s="20">
        <f t="shared" si="68"/>
        <v>0</v>
      </c>
      <c r="I98" s="20">
        <f t="shared" si="69"/>
        <v>0</v>
      </c>
      <c r="K98" s="20">
        <f t="shared" si="70"/>
        <v>0</v>
      </c>
      <c r="L98" s="20">
        <f t="shared" si="71"/>
        <v>0</v>
      </c>
    </row>
    <row r="99" spans="1:12">
      <c r="A99" s="35" t="s">
        <v>984</v>
      </c>
      <c r="B99" s="20">
        <f t="shared" si="62"/>
        <v>0</v>
      </c>
      <c r="C99" s="20">
        <f t="shared" si="63"/>
        <v>0</v>
      </c>
      <c r="D99" s="20">
        <f t="shared" si="64"/>
        <v>0</v>
      </c>
      <c r="E99" s="20">
        <f t="shared" si="65"/>
        <v>0</v>
      </c>
      <c r="F99" s="20">
        <f t="shared" si="66"/>
        <v>0</v>
      </c>
      <c r="G99" s="20">
        <f t="shared" si="67"/>
        <v>0</v>
      </c>
      <c r="H99" s="20">
        <f t="shared" si="68"/>
        <v>0</v>
      </c>
      <c r="I99" s="20">
        <f t="shared" si="69"/>
        <v>0</v>
      </c>
      <c r="K99" s="20">
        <f t="shared" si="70"/>
        <v>0</v>
      </c>
      <c r="L99" s="20">
        <f t="shared" si="71"/>
        <v>0</v>
      </c>
    </row>
    <row r="100" spans="1:12">
      <c r="A100" s="20" t="s">
        <v>985</v>
      </c>
      <c r="B100" s="20">
        <f t="shared" si="62"/>
        <v>0</v>
      </c>
      <c r="C100" s="20">
        <f t="shared" si="63"/>
        <v>0</v>
      </c>
      <c r="D100" s="20">
        <f t="shared" si="64"/>
        <v>0</v>
      </c>
      <c r="E100" s="20">
        <f t="shared" si="65"/>
        <v>0</v>
      </c>
      <c r="F100" s="20">
        <f t="shared" si="66"/>
        <v>0</v>
      </c>
      <c r="G100" s="20">
        <f t="shared" si="67"/>
        <v>0</v>
      </c>
      <c r="H100" s="20">
        <f t="shared" si="68"/>
        <v>0</v>
      </c>
      <c r="I100" s="20">
        <f t="shared" si="69"/>
        <v>0</v>
      </c>
      <c r="K100" s="20">
        <f t="shared" si="70"/>
        <v>0</v>
      </c>
      <c r="L100" s="20">
        <f t="shared" si="71"/>
        <v>0</v>
      </c>
    </row>
    <row r="101" spans="9:9">
      <c r="I101" s="20">
        <f>INT(SUM(B71:I99)+(SUM(B71:I99)*8/35*1%*30%+SUM(B71:I99)*8/35*5%*70%)*额外增益统计!D168)</f>
        <v>217852887</v>
      </c>
    </row>
    <row r="102" spans="9:9">
      <c r="I102" s="20">
        <f>INT(SUM(B71:I99))</f>
        <v>215976972</v>
      </c>
    </row>
  </sheetData>
  <conditionalFormatting sqref="R40:R5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{98c3e1a9-de59-4bac-ae22-c47862c51271}</x14:id>
        </ext>
      </extLst>
    </cfRule>
  </conditionalFormatting>
  <pageMargins left="0.75" right="0.75" top="1" bottom="1" header="0.5" footer="0.5"/>
  <pageSetup paperSize="9" orientation="portrait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8c3e1a9-de59-4bac-ae22-c47862c5127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R40:R57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9"/>
  <sheetViews>
    <sheetView workbookViewId="0">
      <selection activeCell="B55" sqref="B55"/>
    </sheetView>
  </sheetViews>
  <sheetFormatPr defaultColWidth="9.64166666666667" defaultRowHeight="13.5"/>
  <cols>
    <col min="2" max="6" width="12.625"/>
    <col min="12" max="12" width="0.75" customWidth="1"/>
    <col min="13" max="15" width="24.625" customWidth="1"/>
    <col min="16" max="16" width="0.75" customWidth="1"/>
    <col min="22" max="22" width="12.875" style="36" customWidth="1"/>
    <col min="23" max="23" width="18.375" style="36" customWidth="1"/>
    <col min="24" max="25" width="12.625" style="36"/>
    <col min="26" max="26" width="11.5" style="36"/>
    <col min="27" max="27" width="12.625" style="36"/>
    <col min="28" max="28" width="9.64166666666667" style="36"/>
  </cols>
  <sheetData>
    <row r="1" spans="1:1">
      <c r="A1" t="s">
        <v>1006</v>
      </c>
    </row>
    <row r="2" spans="1:1">
      <c r="A2" t="s">
        <v>1007</v>
      </c>
    </row>
    <row r="3" spans="1:1">
      <c r="A3" t="s">
        <v>1008</v>
      </c>
    </row>
    <row r="5" spans="1:1">
      <c r="A5" t="s">
        <v>1009</v>
      </c>
    </row>
    <row r="6" spans="1:1">
      <c r="A6" t="s">
        <v>1010</v>
      </c>
    </row>
    <row r="7" spans="22:36">
      <c r="V7" s="36" t="s">
        <v>20</v>
      </c>
      <c r="W7" s="36" t="s">
        <v>279</v>
      </c>
      <c r="X7" s="36" t="s">
        <v>28</v>
      </c>
      <c r="Y7" s="36" t="s">
        <v>32</v>
      </c>
      <c r="Z7" s="36" t="s">
        <v>35</v>
      </c>
      <c r="AA7" s="36" t="s">
        <v>38</v>
      </c>
      <c r="AB7" s="36" t="s">
        <v>42</v>
      </c>
      <c r="AD7" s="36"/>
      <c r="AE7" s="36"/>
      <c r="AF7" s="36"/>
      <c r="AG7" s="36"/>
      <c r="AH7" s="36"/>
      <c r="AI7" s="36"/>
      <c r="AJ7" s="36"/>
    </row>
    <row r="8" spans="1:36">
      <c r="A8" t="s">
        <v>1011</v>
      </c>
      <c r="V8" s="36">
        <f>按提示输入属性!L7</f>
        <v>100</v>
      </c>
      <c r="W8" s="36">
        <f>198/475</f>
        <v>0.416842105263158</v>
      </c>
      <c r="X8" s="36">
        <v>1.859</v>
      </c>
      <c r="Y8" s="36">
        <v>1.859</v>
      </c>
      <c r="Z8" s="36">
        <v>1.859</v>
      </c>
      <c r="AA8" s="36">
        <v>1.859</v>
      </c>
      <c r="AB8" s="36">
        <v>1.859</v>
      </c>
      <c r="AD8" s="36"/>
      <c r="AE8" s="36"/>
      <c r="AF8" s="36"/>
      <c r="AG8" s="36"/>
      <c r="AH8" s="36"/>
      <c r="AI8" s="36"/>
      <c r="AJ8" s="36"/>
    </row>
    <row r="9" spans="23:36">
      <c r="W9" s="36" t="s">
        <v>1012</v>
      </c>
      <c r="X9" s="36">
        <f>X8*10000</f>
        <v>18590</v>
      </c>
      <c r="AD9" s="36"/>
      <c r="AE9" s="36"/>
      <c r="AF9" s="36"/>
      <c r="AG9" s="36"/>
      <c r="AH9" s="36"/>
      <c r="AI9" s="36"/>
      <c r="AJ9" s="36"/>
    </row>
    <row r="10" spans="1:36">
      <c r="A10" t="s">
        <v>1013</v>
      </c>
      <c r="W10" s="36">
        <f>1.75*W8*V8</f>
        <v>72.9473684210526</v>
      </c>
      <c r="X10" s="36">
        <f>X9/78622.5</f>
        <v>0.236446309898566</v>
      </c>
      <c r="Y10" s="36">
        <f>X9/27513.75</f>
        <v>0.675662168915542</v>
      </c>
      <c r="Z10" s="36">
        <f>X9/78622.5</f>
        <v>0.236446309898566</v>
      </c>
      <c r="AA10" s="36">
        <f>X9/75809.25</f>
        <v>0.2452207349367</v>
      </c>
      <c r="AD10" s="36"/>
      <c r="AE10" s="36"/>
      <c r="AF10" s="36"/>
      <c r="AG10" s="36"/>
      <c r="AH10" s="36"/>
      <c r="AI10" s="36"/>
      <c r="AJ10" s="36"/>
    </row>
    <row r="11" spans="23:36">
      <c r="W11" s="36" t="s">
        <v>1014</v>
      </c>
      <c r="AD11" s="36"/>
      <c r="AE11" s="36"/>
      <c r="AF11" s="36"/>
      <c r="AG11" s="36"/>
      <c r="AH11" s="36"/>
      <c r="AI11" s="36"/>
      <c r="AJ11" s="36"/>
    </row>
    <row r="12" spans="23:36">
      <c r="W12" s="36">
        <f>(0.64+0.56)*W8</f>
        <v>0.50021052631579</v>
      </c>
      <c r="AD12" s="36"/>
      <c r="AE12" s="36"/>
      <c r="AF12" s="36"/>
      <c r="AG12" s="36"/>
      <c r="AH12" s="36"/>
      <c r="AI12" s="36"/>
      <c r="AJ12" s="36"/>
    </row>
    <row r="13" spans="23:36">
      <c r="W13" s="36">
        <f>W12*10000</f>
        <v>5002.1052631579</v>
      </c>
      <c r="AD13" s="36"/>
      <c r="AE13" s="36"/>
      <c r="AF13" s="36"/>
      <c r="AG13" s="36"/>
      <c r="AH13" s="36"/>
      <c r="AI13" s="36"/>
      <c r="AJ13" s="36"/>
    </row>
    <row r="14" spans="23:36">
      <c r="W14" s="36">
        <f>W13/78622.5</f>
        <v>0.0636218037223174</v>
      </c>
      <c r="AD14" s="36"/>
      <c r="AE14" s="36"/>
      <c r="AF14" s="36"/>
      <c r="AG14" s="36"/>
      <c r="AH14" s="36"/>
      <c r="AI14" s="36"/>
      <c r="AJ14" s="36"/>
    </row>
    <row r="15" spans="22:36">
      <c r="V15" s="36">
        <f>V8</f>
        <v>100</v>
      </c>
      <c r="W15" s="43">
        <f>0.00000636*V8</f>
        <v>0.000636</v>
      </c>
      <c r="X15" s="36">
        <f>0.00002365*V8</f>
        <v>0.002365</v>
      </c>
      <c r="Y15" s="36">
        <f>0.00006757*V8</f>
        <v>0.006757</v>
      </c>
      <c r="Z15" s="36">
        <f>0.00002365*V8</f>
        <v>0.002365</v>
      </c>
      <c r="AA15" s="36">
        <f>0.00002453*V8</f>
        <v>0.002453</v>
      </c>
      <c r="AB15" s="36">
        <f>1.859*V8</f>
        <v>185.9</v>
      </c>
      <c r="AD15" s="36"/>
      <c r="AE15" s="43"/>
      <c r="AF15" s="36"/>
      <c r="AG15" s="36"/>
      <c r="AH15" s="36"/>
      <c r="AI15" s="36"/>
      <c r="AJ15" s="36"/>
    </row>
    <row r="16" spans="30:36">
      <c r="AD16" s="36"/>
      <c r="AE16" s="36"/>
      <c r="AF16" s="36"/>
      <c r="AG16" s="36"/>
      <c r="AH16" s="36"/>
      <c r="AI16" s="36"/>
      <c r="AJ16" s="36"/>
    </row>
    <row r="17" spans="22:36">
      <c r="V17" s="36">
        <f>基础!I101-'伤害统计(理想)'!I101</f>
        <v>372322</v>
      </c>
      <c r="W17" s="36">
        <f>根骨!I101-'伤害统计(理想)'!I101</f>
        <v>228627</v>
      </c>
      <c r="X17" s="36">
        <f>会心!I101-'伤害统计(理想)'!I101</f>
        <v>362100</v>
      </c>
      <c r="Y17" s="36">
        <f>会效!I101-'伤害统计(理想)'!I101</f>
        <v>500925</v>
      </c>
      <c r="Z17" s="36">
        <f>破防!I101-'伤害统计(理想)'!I101</f>
        <v>346115</v>
      </c>
      <c r="AA17" s="36">
        <f>无双!I101-'伤害统计(理想)'!I101</f>
        <v>396665</v>
      </c>
      <c r="AB17" s="36">
        <f>破招!I101-'伤害统计(理想)'!I101</f>
        <v>437579</v>
      </c>
      <c r="AD17" s="36"/>
      <c r="AE17" s="36"/>
      <c r="AF17" s="36"/>
      <c r="AG17" s="36"/>
      <c r="AH17" s="36"/>
      <c r="AI17" s="36"/>
      <c r="AJ17" s="36"/>
    </row>
    <row r="23" spans="2:5">
      <c r="B23" t="s">
        <v>1015</v>
      </c>
      <c r="C23" t="s">
        <v>1016</v>
      </c>
      <c r="D23" t="s">
        <v>1017</v>
      </c>
      <c r="E23" t="s">
        <v>1018</v>
      </c>
    </row>
    <row r="24" ht="16.5" spans="1:23">
      <c r="A24" t="s">
        <v>258</v>
      </c>
      <c r="B24">
        <v>114622</v>
      </c>
      <c r="C24">
        <v>114622</v>
      </c>
      <c r="D24">
        <v>114622</v>
      </c>
      <c r="E24">
        <v>81872</v>
      </c>
      <c r="F24">
        <v>152402</v>
      </c>
      <c r="V24" s="44" t="s">
        <v>1019</v>
      </c>
      <c r="W24" s="45">
        <f>V17/V17</f>
        <v>1</v>
      </c>
    </row>
    <row r="25" ht="16.5" spans="1:23">
      <c r="A25" t="s">
        <v>1020</v>
      </c>
      <c r="B25">
        <f>B24/((1+属性计算面板!B6)*(1+属性计算面板!B7))/120%/65%/80%/19552</f>
        <v>4.73718214839341</v>
      </c>
      <c r="C25">
        <f>C24/((1+属性计算面板!B6)*(1+属性计算面板!B7))/120%/65%/80%/19552</f>
        <v>4.73718214839341</v>
      </c>
      <c r="D25">
        <f>D24/((1+属性计算面板!B6)*(1+属性计算面板!B7))/120%/65%/80%/19552</f>
        <v>4.73718214839341</v>
      </c>
      <c r="E25">
        <f>E24/((1+属性计算面板!B6)*(1+属性计算面板!B7))/120%/65%/80%/19552</f>
        <v>3.38366610993758</v>
      </c>
      <c r="F25">
        <f>F24/((1+属性计算面板!B6)*(1+属性计算面板!B7))/120%/65%/80%/19552</f>
        <v>6.29858171886245</v>
      </c>
      <c r="V25" s="44" t="s">
        <v>1021</v>
      </c>
      <c r="W25" s="45">
        <f>W17/V17</f>
        <v>0.614057187058514</v>
      </c>
    </row>
    <row r="26" ht="16.5" spans="2:23">
      <c r="B26">
        <v>5.5426</v>
      </c>
      <c r="E26">
        <v>3.9589</v>
      </c>
      <c r="V26" s="44" t="s">
        <v>1022</v>
      </c>
      <c r="W26" s="45">
        <f>X17/V17</f>
        <v>0.972545269954502</v>
      </c>
    </row>
    <row r="27" ht="16.5" spans="22:23">
      <c r="V27" s="44" t="s">
        <v>1023</v>
      </c>
      <c r="W27" s="45">
        <f>Y17/V17</f>
        <v>1.34540800704766</v>
      </c>
    </row>
    <row r="28" ht="16.5" spans="22:23">
      <c r="V28" s="44" t="s">
        <v>1024</v>
      </c>
      <c r="W28" s="45">
        <f>Z17/V17</f>
        <v>0.929612002513953</v>
      </c>
    </row>
    <row r="29" ht="16.5" spans="13:23">
      <c r="M29" t="s">
        <v>1025</v>
      </c>
      <c r="V29" s="44" t="s">
        <v>1026</v>
      </c>
      <c r="W29" s="45">
        <f>AA17/V17</f>
        <v>1.06538157831125</v>
      </c>
    </row>
    <row r="30" ht="16.5" spans="22:23">
      <c r="V30" s="44" t="s">
        <v>1027</v>
      </c>
      <c r="W30" s="45">
        <f>AB17/V17</f>
        <v>1.17527033052036</v>
      </c>
    </row>
    <row r="32" ht="4" customHeight="1"/>
    <row r="33" ht="21" spans="13:15">
      <c r="M33" s="37" t="s">
        <v>1028</v>
      </c>
      <c r="N33" s="37" t="s">
        <v>1029</v>
      </c>
      <c r="O33" s="37" t="s">
        <v>1030</v>
      </c>
    </row>
    <row r="34" ht="141" customHeight="1" spans="11:15">
      <c r="K34" t="s">
        <v>184</v>
      </c>
      <c r="M34" s="38"/>
      <c r="N34" s="38"/>
      <c r="O34" s="38"/>
    </row>
    <row r="35" ht="18" spans="13:15">
      <c r="M35" s="39" t="s">
        <v>1031</v>
      </c>
      <c r="N35" s="39" t="s">
        <v>1032</v>
      </c>
      <c r="O35" s="39" t="s">
        <v>1033</v>
      </c>
    </row>
    <row r="36" ht="17.25" spans="13:15">
      <c r="M36" s="40" t="s">
        <v>1034</v>
      </c>
      <c r="N36" s="41"/>
      <c r="O36" s="42"/>
    </row>
    <row r="37" ht="17.25" spans="13:15">
      <c r="M37" s="40" t="s">
        <v>1035</v>
      </c>
      <c r="N37" s="41"/>
      <c r="O37" s="42"/>
    </row>
    <row r="38" ht="17.25" spans="13:15">
      <c r="M38" s="40" t="s">
        <v>1036</v>
      </c>
      <c r="N38" s="41"/>
      <c r="O38" s="42"/>
    </row>
    <row r="39" ht="4" customHeight="1"/>
  </sheetData>
  <mergeCells count="3">
    <mergeCell ref="M36:O36"/>
    <mergeCell ref="M37:O37"/>
    <mergeCell ref="M38:O38"/>
  </mergeCells>
  <conditionalFormatting sqref="W24:W3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{b02fdf9e-91d6-476a-90cd-40d3b00c8c53}</x14:id>
        </ext>
      </extLst>
    </cfRule>
  </conditionalFormatting>
  <pageMargins left="0.75" right="0.75" top="1" bottom="1" header="0.5" footer="0.5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4097" progId="Photoshop.Image.21" r:id="rId3">
          <objectPr defaultSize="0" r:id="rId4">
            <anchor moveWithCells="1" sizeWithCells="1">
              <from>
                <xdr:col>6</xdr:col>
                <xdr:colOff>685800</xdr:colOff>
                <xdr:row>10</xdr:row>
                <xdr:rowOff>0</xdr:rowOff>
              </from>
              <to>
                <xdr:col>7</xdr:col>
                <xdr:colOff>55880</xdr:colOff>
                <xdr:row>10</xdr:row>
                <xdr:rowOff>58420</xdr:rowOff>
              </to>
            </anchor>
          </objectPr>
        </oleObject>
      </mc:Choice>
      <mc:Fallback>
        <oleObject shapeId="4097" progId="Photoshop.Image.21" r:id="rId3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2fdf9e-91d6-476a-90cd-40d3b00c8c5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W24:W30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1"/>
  <sheetViews>
    <sheetView workbookViewId="0">
      <pane xSplit="1" ySplit="1" topLeftCell="B56" activePane="bottomRight" state="frozen"/>
      <selection/>
      <selection pane="topRight"/>
      <selection pane="bottomLeft"/>
      <selection pane="bottomRight" activeCell="B55" sqref="B55"/>
    </sheetView>
  </sheetViews>
  <sheetFormatPr defaultColWidth="9.64166666666667" defaultRowHeight="13.5"/>
  <cols>
    <col min="1" max="1" width="17.25" style="20" customWidth="1"/>
    <col min="2" max="6" width="12.625" style="20"/>
    <col min="7" max="7" width="11.375" style="20" customWidth="1"/>
    <col min="8" max="8" width="9.75" style="20" customWidth="1"/>
    <col min="9" max="9" width="12.875" style="20" customWidth="1"/>
    <col min="10" max="10" width="11.25" style="20" customWidth="1"/>
    <col min="11" max="11" width="12.875" style="20" customWidth="1"/>
    <col min="12" max="12" width="10" style="20" customWidth="1"/>
    <col min="13" max="13" width="14.25" style="20" customWidth="1"/>
    <col min="14" max="14" width="8.875" style="20" customWidth="1"/>
    <col min="15" max="15" width="11.125" style="20" customWidth="1"/>
    <col min="16" max="19" width="12.875" style="20" customWidth="1"/>
    <col min="20" max="20" width="15" style="20" customWidth="1"/>
    <col min="21" max="21" width="12.875" style="20" customWidth="1"/>
    <col min="22" max="27" width="12.625" style="20"/>
    <col min="28" max="28" width="17.125" style="20" customWidth="1"/>
    <col min="29" max="30" width="12.625" style="20"/>
    <col min="31" max="31" width="19.125" style="20" customWidth="1"/>
    <col min="32" max="32" width="13.125" style="20" customWidth="1"/>
    <col min="33" max="33" width="16.25" style="20" customWidth="1"/>
    <col min="34" max="34" width="22.25" style="20" customWidth="1"/>
    <col min="35" max="37" width="12.875" style="20" customWidth="1"/>
    <col min="38" max="38" width="17.125" style="20" customWidth="1"/>
    <col min="39" max="39" width="21.5" style="20" customWidth="1"/>
    <col min="40" max="40" width="11" style="20" customWidth="1"/>
    <col min="41" max="41" width="9" style="20" customWidth="1"/>
    <col min="42" max="16384" width="9.64166666666667" style="20"/>
  </cols>
  <sheetData>
    <row r="1" spans="1:40">
      <c r="A1" s="20">
        <f>'伤害统计(理想)'!A1</f>
        <v>0</v>
      </c>
      <c r="B1" s="20" t="str">
        <f>'伤害统计(理想)'!B1</f>
        <v>基础伤害</v>
      </c>
      <c r="C1" s="20" t="str">
        <f>'伤害统计(理想)'!C1</f>
        <v>基础攻击力</v>
      </c>
      <c r="D1" s="20" t="str">
        <f>'伤害统计(理想)'!D1</f>
        <v>攻击力</v>
      </c>
      <c r="E1" s="20" t="str">
        <f>'伤害统计(理想)'!E1</f>
        <v>攻击系数</v>
      </c>
      <c r="F1" s="20" t="str">
        <f>'伤害统计(理想)'!F1</f>
        <v>技改系数</v>
      </c>
      <c r="G1" s="20" t="str">
        <f>'伤害统计(理想)'!G1</f>
        <v>秘籍加成</v>
      </c>
      <c r="H1" s="20" t="str">
        <f>'伤害统计(理想)'!H1</f>
        <v>奇穴加成</v>
      </c>
      <c r="I1" s="20" t="str">
        <f>'伤害统计(理想)'!I1</f>
        <v>非侠加成</v>
      </c>
      <c r="J1" s="20" t="str">
        <f>'伤害统计(理想)'!J1</f>
        <v>破防值</v>
      </c>
      <c r="K1" s="20" t="str">
        <f>'伤害统计(理想)'!K1</f>
        <v>腰坠破防加成</v>
      </c>
      <c r="L1" s="20" t="str">
        <f>'伤害统计(理想)'!L1</f>
        <v>防御值</v>
      </c>
      <c r="M1" s="20" t="str">
        <f>'伤害统计(理想)'!M1</f>
        <v>无双</v>
      </c>
      <c r="N1" s="20" t="str">
        <f>'伤害统计(理想)'!N1</f>
        <v>等级压制</v>
      </c>
      <c r="O1" s="20" t="str">
        <f>'伤害统计(理想)'!O1</f>
        <v>会心</v>
      </c>
      <c r="P1" s="20" t="str">
        <f>'伤害统计(理想)'!P1</f>
        <v>奇穴会心加成</v>
      </c>
      <c r="Q1" s="20" t="str">
        <f>'伤害统计(理想)'!Q1</f>
        <v>常规最终会心</v>
      </c>
      <c r="R1" s="20" t="str">
        <f>'伤害统计(理想)'!R1</f>
        <v>紫气会心加成</v>
      </c>
      <c r="S1" s="20" t="str">
        <f>'伤害统计(理想)'!S1</f>
        <v>紫气最终会心</v>
      </c>
      <c r="T1" s="20" t="str">
        <f>'伤害统计(理想)'!T1</f>
        <v>会效</v>
      </c>
      <c r="U1" s="20" t="str">
        <f>'伤害统计(理想)'!U1</f>
        <v>奇穴会效加成</v>
      </c>
      <c r="V1" s="20" t="str">
        <f>'伤害统计(理想)'!V1</f>
        <v>常规最终会效</v>
      </c>
      <c r="W1" s="20" t="str">
        <f>'伤害统计(理想)'!W1</f>
        <v>厚亡会效加成</v>
      </c>
      <c r="X1" s="20" t="str">
        <f>'伤害统计(理想)'!X1</f>
        <v>厚亡最终会效</v>
      </c>
      <c r="Y1" s="20" t="str">
        <f>'伤害统计(理想)'!Y1</f>
        <v>紫气会效加成</v>
      </c>
      <c r="Z1" s="20" t="str">
        <f>'伤害统计(理想)'!Z1</f>
        <v>紫气最终会效</v>
      </c>
      <c r="AA1" s="20" t="str">
        <f>'伤害统计(理想)'!AA1</f>
        <v>会神会效加成</v>
      </c>
      <c r="AB1" s="20" t="str">
        <f>'伤害统计(理想)'!AB1</f>
        <v>会神紫气最终会效</v>
      </c>
      <c r="AC1" s="20" t="s">
        <v>947</v>
      </c>
      <c r="AD1" s="20" t="s">
        <v>948</v>
      </c>
      <c r="AE1" s="20" t="s">
        <v>949</v>
      </c>
      <c r="AF1" s="20" t="s">
        <v>950</v>
      </c>
      <c r="AG1" s="20" t="s">
        <v>951</v>
      </c>
      <c r="AH1" s="20" t="s">
        <v>952</v>
      </c>
      <c r="AI1" s="20" t="s">
        <v>953</v>
      </c>
      <c r="AJ1" s="20" t="s">
        <v>954</v>
      </c>
      <c r="AK1" s="20" t="s">
        <v>955</v>
      </c>
      <c r="AL1" s="20" t="s">
        <v>956</v>
      </c>
      <c r="AM1" s="20" t="s">
        <v>957</v>
      </c>
      <c r="AN1" s="20" t="s">
        <v>958</v>
      </c>
    </row>
    <row r="2" spans="1:40">
      <c r="A2" s="20" t="str">
        <f>'伤害统计(理想)'!A2</f>
        <v>万世二段</v>
      </c>
      <c r="B2" s="20">
        <f>'伤害统计(理想)'!B2</f>
        <v>1189</v>
      </c>
      <c r="C2" s="8">
        <f>'伤害统计(理想)'!C2+'属性收益计算&amp;备注'!V15</f>
        <v>34500</v>
      </c>
      <c r="D2" s="20">
        <f>'伤害统计(理想)'!D2+'属性收益计算&amp;备注'!V15</f>
        <v>45892</v>
      </c>
      <c r="E2" s="20">
        <f>'伤害统计(理想)'!E2</f>
        <v>2.4325</v>
      </c>
      <c r="F2" s="20">
        <f>'伤害统计(理想)'!F2</f>
        <v>1</v>
      </c>
      <c r="G2" s="20">
        <f>'伤害统计(理想)'!G2</f>
        <v>0.12</v>
      </c>
      <c r="H2" s="20">
        <f>'伤害统计(理想)'!H2</f>
        <v>0.1</v>
      </c>
      <c r="I2" s="20">
        <f>'伤害统计(理想)'!I2</f>
        <v>1.35</v>
      </c>
      <c r="J2" s="20">
        <f>'伤害统计(理想)'!J2</f>
        <v>0.472</v>
      </c>
      <c r="K2" s="20">
        <f>'伤害统计(理想)'!K2</f>
        <v>0.1181</v>
      </c>
      <c r="L2" s="20">
        <f>'伤害统计(理想)'!L2</f>
        <v>0.177214436704937</v>
      </c>
      <c r="M2" s="20">
        <f>'伤害统计(理想)'!M2</f>
        <v>0.3473</v>
      </c>
      <c r="N2" s="20">
        <f>'伤害统计(理想)'!N2</f>
        <v>0.2</v>
      </c>
      <c r="O2" s="20">
        <f>'伤害统计(理想)'!O2</f>
        <v>0.4994</v>
      </c>
      <c r="P2" s="20">
        <f>'伤害统计(理想)'!P2</f>
        <v>0</v>
      </c>
      <c r="Q2" s="20">
        <f>'伤害统计(理想)'!Q2</f>
        <v>0.4994</v>
      </c>
      <c r="R2" s="20">
        <f>'伤害统计(理想)'!R2</f>
        <v>0.2441</v>
      </c>
      <c r="S2" s="20">
        <f>'伤害统计(理想)'!S2</f>
        <v>0.7435</v>
      </c>
      <c r="T2" s="20">
        <f>'伤害统计(理想)'!T2</f>
        <v>2.0895</v>
      </c>
      <c r="U2" s="20">
        <f>'伤害统计(理想)'!U2</f>
        <v>0</v>
      </c>
      <c r="V2" s="20">
        <f>'伤害统计(理想)'!V2</f>
        <v>2.0895</v>
      </c>
      <c r="W2" s="20">
        <f>'伤害统计(理想)'!W2</f>
        <v>0.2441</v>
      </c>
      <c r="X2" s="20">
        <f>'伤害统计(理想)'!X2</f>
        <v>2.3336</v>
      </c>
      <c r="Y2" s="20">
        <f>'伤害统计(理想)'!Y2</f>
        <v>0.2441</v>
      </c>
      <c r="Z2" s="20">
        <f>'伤害统计(理想)'!Z2</f>
        <v>2.3336</v>
      </c>
      <c r="AA2" s="20">
        <f>'伤害统计(理想)'!AA2</f>
        <v>0.1953</v>
      </c>
      <c r="AB2" s="20">
        <f>'伤害统计(理想)'!AB2</f>
        <v>2.5289</v>
      </c>
      <c r="AC2" s="20">
        <f t="shared" ref="AC2:AC31" si="0">INT(INT(B2+D2*E2)*F2*(1+G2+H2)*(1+I2)*(1+J2)*(1-L2)*(1+M2)*(1-N2))</f>
        <v>422246</v>
      </c>
      <c r="AD2" s="20">
        <f t="shared" ref="AD2:AD31" si="1">INT((B2+(D2+C2*50%)*E2)*F2*(1+G2+H2)*(1+I2)*(1+J2)*(1-L2)*(1+M2)*(1-N2))</f>
        <v>579290</v>
      </c>
      <c r="AE2" s="20">
        <f t="shared" ref="AE2:AE31" si="2">INT((B2+(D2+C2*50%)*E2)*F2*(1+G2+H2)*(1+I2)*(1+J2+K2)*(1-L2)*(1+M2)*(1-N2))</f>
        <v>625767</v>
      </c>
      <c r="AF2" s="20">
        <f t="shared" ref="AF2:AF31" si="3">INT(AC2*V2)</f>
        <v>882283</v>
      </c>
      <c r="AG2" s="20">
        <f t="shared" ref="AG2:AG31" si="4">INT(AD2*Z2)</f>
        <v>1351831</v>
      </c>
      <c r="AH2" s="20">
        <f>INT(AE2*Z2)</f>
        <v>1460289</v>
      </c>
      <c r="AI2" s="20">
        <f t="shared" ref="AI2:AI31" si="5">INT((B2+(D2+C2*25%)*E2)*F2*(1+G2+H2)*(1+I2)*(1+J2)*(1-L2)*(1+M2)*(1-N2))</f>
        <v>500769</v>
      </c>
      <c r="AJ2" s="20">
        <f t="shared" ref="AJ2:AJ31" si="6">INT(AI2*X2)</f>
        <v>1168594</v>
      </c>
      <c r="AK2" s="20">
        <f t="shared" ref="AK2:AK31" si="7">INT((B2+(D2+C2*25%)*E2)*F2*(1+G2+H2)*(1+I2)*(1+J2+K2)*(1-L2)*(1+M2)*(1-N2))</f>
        <v>540946</v>
      </c>
      <c r="AL2" s="20">
        <f t="shared" ref="AL2:AL31" si="8">INT(AK2*X2)</f>
        <v>1262351</v>
      </c>
      <c r="AM2" s="20">
        <f t="shared" ref="AM2:AM31" si="9">INT(AD2*AB2)</f>
        <v>1464966</v>
      </c>
      <c r="AN2" s="20">
        <f t="shared" ref="AN2:AN31" si="10">INT(AE2*AB2)</f>
        <v>1582502</v>
      </c>
    </row>
    <row r="3" spans="1:40">
      <c r="A3" s="20" t="str">
        <f>'伤害统计(理想)'!A3</f>
        <v>飞剑1</v>
      </c>
      <c r="B3" s="20">
        <f>'伤害统计(理想)'!B3</f>
        <v>50</v>
      </c>
      <c r="C3" s="8">
        <f>C2</f>
        <v>34500</v>
      </c>
      <c r="D3" s="20">
        <f>D2</f>
        <v>45892</v>
      </c>
      <c r="E3" s="20">
        <f>'伤害统计(理想)'!E3</f>
        <v>0.286996875</v>
      </c>
      <c r="F3" s="20">
        <f>'伤害统计(理想)'!F3</f>
        <v>1</v>
      </c>
      <c r="G3" s="20">
        <f>'伤害统计(理想)'!G3</f>
        <v>0.12</v>
      </c>
      <c r="H3" s="20">
        <f>'伤害统计(理想)'!H3</f>
        <v>0.1</v>
      </c>
      <c r="I3" s="20">
        <f>'伤害统计(理想)'!I3</f>
        <v>1.35</v>
      </c>
      <c r="J3" s="20">
        <f>'伤害统计(理想)'!J3</f>
        <v>0.472</v>
      </c>
      <c r="K3" s="20">
        <f>'伤害统计(理想)'!K3</f>
        <v>0.1181</v>
      </c>
      <c r="L3" s="20">
        <f>'伤害统计(理想)'!L3</f>
        <v>0.177214436704937</v>
      </c>
      <c r="M3" s="20">
        <f>'伤害统计(理想)'!M3</f>
        <v>0.3473</v>
      </c>
      <c r="N3" s="20">
        <f>'伤害统计(理想)'!N3</f>
        <v>0.2</v>
      </c>
      <c r="O3" s="20">
        <f>'伤害统计(理想)'!O3</f>
        <v>0.4994</v>
      </c>
      <c r="P3" s="20">
        <f>'伤害统计(理想)'!P3</f>
        <v>0</v>
      </c>
      <c r="Q3" s="20">
        <f>'伤害统计(理想)'!Q3</f>
        <v>0.4994</v>
      </c>
      <c r="R3" s="20">
        <f>'伤害统计(理想)'!R3</f>
        <v>0.2441</v>
      </c>
      <c r="S3" s="20">
        <f>'伤害统计(理想)'!S3</f>
        <v>0.7435</v>
      </c>
      <c r="T3" s="20">
        <f>'伤害统计(理想)'!T3</f>
        <v>2.0895</v>
      </c>
      <c r="U3" s="20">
        <f>'伤害统计(理想)'!U3</f>
        <v>0</v>
      </c>
      <c r="V3" s="20">
        <f>'伤害统计(理想)'!V3</f>
        <v>2.0895</v>
      </c>
      <c r="W3" s="20">
        <f>'伤害统计(理想)'!W3</f>
        <v>0.2441</v>
      </c>
      <c r="X3" s="20">
        <f>'伤害统计(理想)'!X3</f>
        <v>2.3336</v>
      </c>
      <c r="Y3" s="20">
        <f>'伤害统计(理想)'!Y3</f>
        <v>0.2441</v>
      </c>
      <c r="Z3" s="20">
        <f>'伤害统计(理想)'!Z3</f>
        <v>2.3336</v>
      </c>
      <c r="AA3" s="20">
        <f>'伤害统计(理想)'!AA3</f>
        <v>0.1953</v>
      </c>
      <c r="AB3" s="20">
        <f>'伤害统计(理想)'!AB3</f>
        <v>2.5289</v>
      </c>
      <c r="AC3" s="20">
        <f t="shared" si="0"/>
        <v>49477</v>
      </c>
      <c r="AD3" s="20">
        <f t="shared" si="1"/>
        <v>68009</v>
      </c>
      <c r="AE3" s="20">
        <f t="shared" si="2"/>
        <v>73465</v>
      </c>
      <c r="AF3" s="20">
        <f t="shared" si="3"/>
        <v>103382</v>
      </c>
      <c r="AG3" s="20">
        <f t="shared" si="4"/>
        <v>158705</v>
      </c>
      <c r="AH3" s="20">
        <f>INT(AE3*(T3+U3+0.4441+按提示输入属性!D64*0.1953))</f>
        <v>200478</v>
      </c>
      <c r="AI3" s="20">
        <f t="shared" si="5"/>
        <v>58745</v>
      </c>
      <c r="AJ3" s="20">
        <f t="shared" si="6"/>
        <v>137087</v>
      </c>
      <c r="AK3" s="20">
        <f t="shared" si="7"/>
        <v>63458</v>
      </c>
      <c r="AL3" s="20">
        <f t="shared" si="8"/>
        <v>148085</v>
      </c>
      <c r="AM3" s="20">
        <f t="shared" si="9"/>
        <v>171987</v>
      </c>
      <c r="AN3" s="20">
        <f t="shared" si="10"/>
        <v>185785</v>
      </c>
    </row>
    <row r="4" spans="1:40">
      <c r="A4" s="20" t="str">
        <f>'伤害统计(理想)'!A4</f>
        <v>飞剑2</v>
      </c>
      <c r="B4" s="20">
        <f>'伤害统计(理想)'!B4</f>
        <v>50</v>
      </c>
      <c r="C4" s="8">
        <f>C2</f>
        <v>34500</v>
      </c>
      <c r="D4" s="20">
        <f>D2</f>
        <v>45892</v>
      </c>
      <c r="E4" s="20">
        <f>'伤害统计(理想)'!E4</f>
        <v>0.286996875</v>
      </c>
      <c r="F4" s="20">
        <f>'伤害统计(理想)'!F4</f>
        <v>1</v>
      </c>
      <c r="G4" s="20">
        <f>'伤害统计(理想)'!G4</f>
        <v>0.12</v>
      </c>
      <c r="H4" s="20">
        <f>'伤害统计(理想)'!H4</f>
        <v>0.25</v>
      </c>
      <c r="I4" s="20">
        <f>'伤害统计(理想)'!I4</f>
        <v>1.35</v>
      </c>
      <c r="J4" s="20">
        <f>'伤害统计(理想)'!J4</f>
        <v>0.472</v>
      </c>
      <c r="K4" s="20">
        <f>'伤害统计(理想)'!K4</f>
        <v>0.1181</v>
      </c>
      <c r="L4" s="20">
        <f>'伤害统计(理想)'!L4</f>
        <v>0.177214436704937</v>
      </c>
      <c r="M4" s="20">
        <f>'伤害统计(理想)'!M4</f>
        <v>0.3473</v>
      </c>
      <c r="N4" s="20">
        <f>'伤害统计(理想)'!N4</f>
        <v>0.2</v>
      </c>
      <c r="O4" s="20">
        <f>'伤害统计(理想)'!O4</f>
        <v>0.4994</v>
      </c>
      <c r="P4" s="20">
        <f>'伤害统计(理想)'!P4</f>
        <v>0</v>
      </c>
      <c r="Q4" s="20">
        <f>'伤害统计(理想)'!Q4</f>
        <v>0.4994</v>
      </c>
      <c r="R4" s="20">
        <f>'伤害统计(理想)'!R4</f>
        <v>0.2441</v>
      </c>
      <c r="S4" s="20">
        <f>'伤害统计(理想)'!S4</f>
        <v>0.7435</v>
      </c>
      <c r="T4" s="20">
        <f>'伤害统计(理想)'!T4</f>
        <v>2.0895</v>
      </c>
      <c r="U4" s="20">
        <f>'伤害统计(理想)'!U4</f>
        <v>0</v>
      </c>
      <c r="V4" s="20">
        <f>'伤害统计(理想)'!V4</f>
        <v>2.0895</v>
      </c>
      <c r="W4" s="20">
        <f>'伤害统计(理想)'!W4</f>
        <v>0.2441</v>
      </c>
      <c r="X4" s="20">
        <f>'伤害统计(理想)'!X4</f>
        <v>2.3336</v>
      </c>
      <c r="Y4" s="20">
        <f>'伤害统计(理想)'!Y4</f>
        <v>0.2441</v>
      </c>
      <c r="Z4" s="20">
        <f>'伤害统计(理想)'!Z4</f>
        <v>2.3336</v>
      </c>
      <c r="AA4" s="20">
        <f>'伤害统计(理想)'!AA4</f>
        <v>0.1953</v>
      </c>
      <c r="AB4" s="20">
        <f>'伤害统计(理想)'!AB4</f>
        <v>2.5289</v>
      </c>
      <c r="AC4" s="20">
        <f t="shared" si="0"/>
        <v>55560</v>
      </c>
      <c r="AD4" s="20">
        <f t="shared" si="1"/>
        <v>76371</v>
      </c>
      <c r="AE4" s="20">
        <f t="shared" si="2"/>
        <v>82498</v>
      </c>
      <c r="AF4" s="20">
        <f t="shared" si="3"/>
        <v>116092</v>
      </c>
      <c r="AG4" s="20">
        <f t="shared" si="4"/>
        <v>178219</v>
      </c>
      <c r="AH4" s="20">
        <f>INT(AE4*(T4+U4+0.4441+按提示输入属性!D64*0.1953))</f>
        <v>225128</v>
      </c>
      <c r="AI4" s="20">
        <f t="shared" si="5"/>
        <v>65967</v>
      </c>
      <c r="AJ4" s="20">
        <f t="shared" si="6"/>
        <v>153940</v>
      </c>
      <c r="AK4" s="20">
        <f t="shared" si="7"/>
        <v>71260</v>
      </c>
      <c r="AL4" s="20">
        <f t="shared" si="8"/>
        <v>166292</v>
      </c>
      <c r="AM4" s="20">
        <f t="shared" si="9"/>
        <v>193134</v>
      </c>
      <c r="AN4" s="20">
        <f t="shared" si="10"/>
        <v>208629</v>
      </c>
    </row>
    <row r="5" spans="1:40">
      <c r="A5" s="20" t="str">
        <f>'伤害统计(理想)'!A5</f>
        <v>飞剑3</v>
      </c>
      <c r="B5" s="20">
        <f>'伤害统计(理想)'!B5</f>
        <v>50</v>
      </c>
      <c r="C5" s="8">
        <f>C2</f>
        <v>34500</v>
      </c>
      <c r="D5" s="20">
        <f>D2</f>
        <v>45892</v>
      </c>
      <c r="E5" s="20">
        <f>'伤害统计(理想)'!E5</f>
        <v>0.286996875</v>
      </c>
      <c r="F5" s="20">
        <f>'伤害统计(理想)'!F5</f>
        <v>1</v>
      </c>
      <c r="G5" s="20">
        <f>'伤害统计(理想)'!G5</f>
        <v>0.12</v>
      </c>
      <c r="H5" s="20">
        <f>'伤害统计(理想)'!H5</f>
        <v>0.4</v>
      </c>
      <c r="I5" s="20">
        <f>'伤害统计(理想)'!I5</f>
        <v>1.35</v>
      </c>
      <c r="J5" s="20">
        <f>'伤害统计(理想)'!J5</f>
        <v>0.472</v>
      </c>
      <c r="K5" s="20">
        <f>'伤害统计(理想)'!K5</f>
        <v>0.1181</v>
      </c>
      <c r="L5" s="20">
        <f>'伤害统计(理想)'!L5</f>
        <v>0.177214436704937</v>
      </c>
      <c r="M5" s="20">
        <f>'伤害统计(理想)'!M5</f>
        <v>0.3473</v>
      </c>
      <c r="N5" s="20">
        <f>'伤害统计(理想)'!N5</f>
        <v>0.2</v>
      </c>
      <c r="O5" s="20">
        <f>'伤害统计(理想)'!O5</f>
        <v>0.4994</v>
      </c>
      <c r="P5" s="20">
        <f>'伤害统计(理想)'!P5</f>
        <v>0</v>
      </c>
      <c r="Q5" s="20">
        <f>'伤害统计(理想)'!Q5</f>
        <v>0.4994</v>
      </c>
      <c r="R5" s="20">
        <f>'伤害统计(理想)'!R5</f>
        <v>0.2441</v>
      </c>
      <c r="S5" s="20">
        <f>'伤害统计(理想)'!S5</f>
        <v>0.7435</v>
      </c>
      <c r="T5" s="20">
        <f>'伤害统计(理想)'!T5</f>
        <v>2.0895</v>
      </c>
      <c r="U5" s="20">
        <f>'伤害统计(理想)'!U5</f>
        <v>0</v>
      </c>
      <c r="V5" s="20">
        <f>'伤害统计(理想)'!V5</f>
        <v>2.0895</v>
      </c>
      <c r="W5" s="20">
        <f>'伤害统计(理想)'!W5</f>
        <v>0.2441</v>
      </c>
      <c r="X5" s="20">
        <f>'伤害统计(理想)'!X5</f>
        <v>2.3336</v>
      </c>
      <c r="Y5" s="20">
        <f>'伤害统计(理想)'!Y5</f>
        <v>0.2441</v>
      </c>
      <c r="Z5" s="20">
        <f>'伤害统计(理想)'!Z5</f>
        <v>2.3336</v>
      </c>
      <c r="AA5" s="20">
        <f>'伤害统计(理想)'!AA5</f>
        <v>0.1953</v>
      </c>
      <c r="AB5" s="20">
        <f>'伤害统计(理想)'!AB5</f>
        <v>2.5289</v>
      </c>
      <c r="AC5" s="20">
        <f t="shared" si="0"/>
        <v>61644</v>
      </c>
      <c r="AD5" s="20">
        <f t="shared" si="1"/>
        <v>84732</v>
      </c>
      <c r="AE5" s="20">
        <f t="shared" si="2"/>
        <v>91531</v>
      </c>
      <c r="AF5" s="20">
        <f t="shared" si="3"/>
        <v>128805</v>
      </c>
      <c r="AG5" s="20">
        <f t="shared" si="4"/>
        <v>197730</v>
      </c>
      <c r="AH5" s="20">
        <f>INT(AE5*(T5+U5+0.4441+按提示输入属性!D64*0.1953))</f>
        <v>249778</v>
      </c>
      <c r="AI5" s="20">
        <f t="shared" si="5"/>
        <v>73190</v>
      </c>
      <c r="AJ5" s="20">
        <f t="shared" si="6"/>
        <v>170796</v>
      </c>
      <c r="AK5" s="20">
        <f t="shared" si="7"/>
        <v>79062</v>
      </c>
      <c r="AL5" s="20">
        <f t="shared" si="8"/>
        <v>184499</v>
      </c>
      <c r="AM5" s="20">
        <f t="shared" si="9"/>
        <v>214278</v>
      </c>
      <c r="AN5" s="20">
        <f t="shared" si="10"/>
        <v>231472</v>
      </c>
    </row>
    <row r="6" spans="1:40">
      <c r="A6" s="20" t="str">
        <f>'伤害统计(理想)'!A6</f>
        <v>飞剑4</v>
      </c>
      <c r="B6" s="20">
        <f>'伤害统计(理想)'!B6</f>
        <v>50</v>
      </c>
      <c r="C6" s="8">
        <f>C2</f>
        <v>34500</v>
      </c>
      <c r="D6" s="20">
        <f>D2</f>
        <v>45892</v>
      </c>
      <c r="E6" s="20">
        <f>'伤害统计(理想)'!E6</f>
        <v>0.286996875</v>
      </c>
      <c r="F6" s="20">
        <f>'伤害统计(理想)'!F6</f>
        <v>1</v>
      </c>
      <c r="G6" s="20">
        <f>'伤害统计(理想)'!G6</f>
        <v>0.12</v>
      </c>
      <c r="H6" s="20">
        <f>'伤害统计(理想)'!H6</f>
        <v>0.55</v>
      </c>
      <c r="I6" s="20">
        <f>'伤害统计(理想)'!I6</f>
        <v>1.35</v>
      </c>
      <c r="J6" s="20">
        <f>'伤害统计(理想)'!J6</f>
        <v>0.472</v>
      </c>
      <c r="K6" s="20">
        <f>'伤害统计(理想)'!K6</f>
        <v>0.1181</v>
      </c>
      <c r="L6" s="20">
        <f>'伤害统计(理想)'!L6</f>
        <v>0.177214436704937</v>
      </c>
      <c r="M6" s="20">
        <f>'伤害统计(理想)'!M6</f>
        <v>0.3473</v>
      </c>
      <c r="N6" s="20">
        <f>'伤害统计(理想)'!N6</f>
        <v>0.2</v>
      </c>
      <c r="O6" s="20">
        <f>'伤害统计(理想)'!O6</f>
        <v>0.4994</v>
      </c>
      <c r="P6" s="20">
        <f>'伤害统计(理想)'!P6</f>
        <v>0</v>
      </c>
      <c r="Q6" s="20">
        <f>'伤害统计(理想)'!Q6</f>
        <v>0.4994</v>
      </c>
      <c r="R6" s="20">
        <f>'伤害统计(理想)'!R6</f>
        <v>0.2441</v>
      </c>
      <c r="S6" s="20">
        <f>'伤害统计(理想)'!S6</f>
        <v>0.7435</v>
      </c>
      <c r="T6" s="20">
        <f>'伤害统计(理想)'!T6</f>
        <v>2.0895</v>
      </c>
      <c r="U6" s="20">
        <f>'伤害统计(理想)'!U6</f>
        <v>0</v>
      </c>
      <c r="V6" s="20">
        <f>'伤害统计(理想)'!V6</f>
        <v>2.0895</v>
      </c>
      <c r="W6" s="20">
        <f>'伤害统计(理想)'!W6</f>
        <v>0.2441</v>
      </c>
      <c r="X6" s="20">
        <f>'伤害统计(理想)'!X6</f>
        <v>2.3336</v>
      </c>
      <c r="Y6" s="20">
        <f>'伤害统计(理想)'!Y6</f>
        <v>0.2441</v>
      </c>
      <c r="Z6" s="20">
        <f>'伤害统计(理想)'!Z6</f>
        <v>2.3336</v>
      </c>
      <c r="AA6" s="20">
        <f>'伤害统计(理想)'!AA6</f>
        <v>0.1953</v>
      </c>
      <c r="AB6" s="20">
        <f>'伤害统计(理想)'!AB6</f>
        <v>2.5289</v>
      </c>
      <c r="AC6" s="20">
        <f t="shared" si="0"/>
        <v>67727</v>
      </c>
      <c r="AD6" s="20">
        <f t="shared" si="1"/>
        <v>93094</v>
      </c>
      <c r="AE6" s="20">
        <f t="shared" si="2"/>
        <v>100563</v>
      </c>
      <c r="AF6" s="20">
        <f t="shared" si="3"/>
        <v>141515</v>
      </c>
      <c r="AG6" s="20">
        <f t="shared" si="4"/>
        <v>217244</v>
      </c>
      <c r="AH6" s="20">
        <f>INT(AE6*(T6+U6+0.4441+按提示输入属性!D64*0.1953))</f>
        <v>274426</v>
      </c>
      <c r="AI6" s="20">
        <f t="shared" si="5"/>
        <v>80413</v>
      </c>
      <c r="AJ6" s="20">
        <f t="shared" si="6"/>
        <v>187651</v>
      </c>
      <c r="AK6" s="20">
        <f t="shared" si="7"/>
        <v>86864</v>
      </c>
      <c r="AL6" s="20">
        <f t="shared" si="8"/>
        <v>202705</v>
      </c>
      <c r="AM6" s="20">
        <f t="shared" si="9"/>
        <v>235425</v>
      </c>
      <c r="AN6" s="20">
        <f t="shared" si="10"/>
        <v>254313</v>
      </c>
    </row>
    <row r="7" spans="1:40">
      <c r="A7" s="20" t="str">
        <f>'伤害统计(理想)'!A7</f>
        <v>飞剑5</v>
      </c>
      <c r="B7" s="20">
        <f>'伤害统计(理想)'!B7</f>
        <v>50</v>
      </c>
      <c r="C7" s="8">
        <f>C2</f>
        <v>34500</v>
      </c>
      <c r="D7" s="20">
        <f>D2</f>
        <v>45892</v>
      </c>
      <c r="E7" s="20">
        <f>'伤害统计(理想)'!E7</f>
        <v>0.286996875</v>
      </c>
      <c r="F7" s="20">
        <f>'伤害统计(理想)'!F7</f>
        <v>1</v>
      </c>
      <c r="G7" s="20">
        <f>'伤害统计(理想)'!G7</f>
        <v>0.12</v>
      </c>
      <c r="H7" s="20">
        <f>'伤害统计(理想)'!H7</f>
        <v>0.7</v>
      </c>
      <c r="I7" s="20">
        <f>'伤害统计(理想)'!I7</f>
        <v>1.35</v>
      </c>
      <c r="J7" s="20">
        <f>'伤害统计(理想)'!J7</f>
        <v>0.472</v>
      </c>
      <c r="K7" s="20">
        <f>'伤害统计(理想)'!K7</f>
        <v>0.1181</v>
      </c>
      <c r="L7" s="20">
        <f>'伤害统计(理想)'!L7</f>
        <v>0.177214436704937</v>
      </c>
      <c r="M7" s="20">
        <f>'伤害统计(理想)'!M7</f>
        <v>0.3473</v>
      </c>
      <c r="N7" s="20">
        <f>'伤害统计(理想)'!N7</f>
        <v>0.2</v>
      </c>
      <c r="O7" s="20">
        <f>'伤害统计(理想)'!O7</f>
        <v>0.4994</v>
      </c>
      <c r="P7" s="20">
        <f>'伤害统计(理想)'!P7</f>
        <v>0</v>
      </c>
      <c r="Q7" s="20">
        <f>'伤害统计(理想)'!Q7</f>
        <v>0.4994</v>
      </c>
      <c r="R7" s="20">
        <f>'伤害统计(理想)'!R7</f>
        <v>0.2441</v>
      </c>
      <c r="S7" s="20">
        <f>'伤害统计(理想)'!S7</f>
        <v>0.7435</v>
      </c>
      <c r="T7" s="20">
        <f>'伤害统计(理想)'!T7</f>
        <v>2.0895</v>
      </c>
      <c r="U7" s="20">
        <f>'伤害统计(理想)'!U7</f>
        <v>0</v>
      </c>
      <c r="V7" s="20">
        <f>'伤害统计(理想)'!V7</f>
        <v>2.0895</v>
      </c>
      <c r="W7" s="20">
        <f>'伤害统计(理想)'!W7</f>
        <v>0.2441</v>
      </c>
      <c r="X7" s="20">
        <f>'伤害统计(理想)'!X7</f>
        <v>2.3336</v>
      </c>
      <c r="Y7" s="20">
        <f>'伤害统计(理想)'!Y7</f>
        <v>0.2441</v>
      </c>
      <c r="Z7" s="20">
        <f>'伤害统计(理想)'!Z7</f>
        <v>2.3336</v>
      </c>
      <c r="AA7" s="20">
        <f>'伤害统计(理想)'!AA7</f>
        <v>0.1953</v>
      </c>
      <c r="AB7" s="20">
        <f>'伤害统计(理想)'!AB7</f>
        <v>2.5289</v>
      </c>
      <c r="AC7" s="20">
        <f t="shared" si="0"/>
        <v>73810</v>
      </c>
      <c r="AD7" s="20">
        <f t="shared" si="1"/>
        <v>101456</v>
      </c>
      <c r="AE7" s="20">
        <f t="shared" si="2"/>
        <v>109596</v>
      </c>
      <c r="AF7" s="20">
        <f t="shared" si="3"/>
        <v>154225</v>
      </c>
      <c r="AG7" s="20">
        <f t="shared" si="4"/>
        <v>236757</v>
      </c>
      <c r="AH7" s="20">
        <f>INT(AE7*(T7+U7+0.4441+按提示输入属性!D64*0.1953))</f>
        <v>299076</v>
      </c>
      <c r="AI7" s="20">
        <f t="shared" si="5"/>
        <v>87636</v>
      </c>
      <c r="AJ7" s="20">
        <f t="shared" si="6"/>
        <v>204507</v>
      </c>
      <c r="AK7" s="20">
        <f t="shared" si="7"/>
        <v>94667</v>
      </c>
      <c r="AL7" s="20">
        <f t="shared" si="8"/>
        <v>220914</v>
      </c>
      <c r="AM7" s="20">
        <f t="shared" si="9"/>
        <v>256572</v>
      </c>
      <c r="AN7" s="20">
        <f t="shared" si="10"/>
        <v>277157</v>
      </c>
    </row>
    <row r="8" s="20" customFormat="1" spans="1:40">
      <c r="A8" s="20" t="str">
        <f>'伤害统计(理想)'!A8</f>
        <v>颠越苍穹击</v>
      </c>
      <c r="B8" s="20">
        <f>'伤害统计(理想)'!B8</f>
        <v>1090</v>
      </c>
      <c r="C8" s="8">
        <f>C2</f>
        <v>34500</v>
      </c>
      <c r="D8" s="20">
        <f>D2</f>
        <v>45892</v>
      </c>
      <c r="E8" s="20">
        <f>'伤害统计(理想)'!E8</f>
        <v>0.7239</v>
      </c>
      <c r="F8" s="20">
        <f>'伤害统计(理想)'!F8</f>
        <v>1</v>
      </c>
      <c r="G8" s="20">
        <f>'伤害统计(理想)'!G8</f>
        <v>0</v>
      </c>
      <c r="H8" s="20">
        <f>'伤害统计(理想)'!H8</f>
        <v>0</v>
      </c>
      <c r="I8" s="20">
        <f>'伤害统计(理想)'!I8</f>
        <v>0.05</v>
      </c>
      <c r="J8" s="20">
        <f>'伤害统计(理想)'!J8</f>
        <v>0.472</v>
      </c>
      <c r="K8" s="20">
        <f>'伤害统计(理想)'!K8</f>
        <v>0.1181</v>
      </c>
      <c r="L8" s="20">
        <f>'伤害统计(理想)'!L8</f>
        <v>0.177214436704937</v>
      </c>
      <c r="M8" s="20">
        <f>'伤害统计(理想)'!M8</f>
        <v>0.3473</v>
      </c>
      <c r="N8" s="20">
        <f>'伤害统计(理想)'!N8</f>
        <v>0.2</v>
      </c>
      <c r="O8" s="20">
        <f>'伤害统计(理想)'!O8</f>
        <v>0.4994</v>
      </c>
      <c r="P8" s="20">
        <f>'伤害统计(理想)'!P8</f>
        <v>0</v>
      </c>
      <c r="Q8" s="20">
        <f>'伤害统计(理想)'!Q8</f>
        <v>0.4994</v>
      </c>
      <c r="R8" s="20">
        <f>'伤害统计(理想)'!R8</f>
        <v>0.2441</v>
      </c>
      <c r="S8" s="20">
        <f>'伤害统计(理想)'!S8</f>
        <v>0.7435</v>
      </c>
      <c r="T8" s="20">
        <f>'伤害统计(理想)'!T8</f>
        <v>2.0895</v>
      </c>
      <c r="U8" s="20">
        <f>'伤害统计(理想)'!U8</f>
        <v>0</v>
      </c>
      <c r="V8" s="20">
        <f>'伤害统计(理想)'!V8</f>
        <v>2.0895</v>
      </c>
      <c r="W8" s="20">
        <f>'伤害统计(理想)'!W8</f>
        <v>0.2441</v>
      </c>
      <c r="X8" s="20">
        <f>'伤害统计(理想)'!X8</f>
        <v>2.3336</v>
      </c>
      <c r="Y8" s="20">
        <f>'伤害统计(理想)'!Y8</f>
        <v>0.2441</v>
      </c>
      <c r="Z8" s="20">
        <f>'伤害统计(理想)'!Z8</f>
        <v>2.3336</v>
      </c>
      <c r="AA8" s="20">
        <f>'伤害统计(理想)'!AA8</f>
        <v>0.1953</v>
      </c>
      <c r="AB8" s="20">
        <f>'伤害统计(理想)'!AB8</f>
        <v>2.5289</v>
      </c>
      <c r="AC8" s="20">
        <f t="shared" si="0"/>
        <v>47029</v>
      </c>
      <c r="AD8" s="20">
        <f t="shared" si="1"/>
        <v>64146</v>
      </c>
      <c r="AE8" s="20">
        <f t="shared" si="2"/>
        <v>69292</v>
      </c>
      <c r="AF8" s="20">
        <f t="shared" si="3"/>
        <v>98267</v>
      </c>
      <c r="AG8" s="20">
        <f t="shared" si="4"/>
        <v>149691</v>
      </c>
      <c r="AH8" s="20">
        <f t="shared" ref="AH8:AH14" si="11">INT(AE8*(T8+U8+0.4441))</f>
        <v>175558</v>
      </c>
      <c r="AI8" s="20">
        <f t="shared" si="5"/>
        <v>55587</v>
      </c>
      <c r="AJ8" s="20">
        <f t="shared" si="6"/>
        <v>129717</v>
      </c>
      <c r="AK8" s="20">
        <f t="shared" si="7"/>
        <v>60047</v>
      </c>
      <c r="AL8" s="20">
        <f t="shared" si="8"/>
        <v>140125</v>
      </c>
      <c r="AM8" s="20">
        <f t="shared" si="9"/>
        <v>162218</v>
      </c>
      <c r="AN8" s="20">
        <f t="shared" si="10"/>
        <v>175232</v>
      </c>
    </row>
    <row r="9" s="20" customFormat="1" spans="1:40">
      <c r="A9" s="20" t="str">
        <f>'伤害统计(理想)'!A9</f>
        <v>五方行尽</v>
      </c>
      <c r="B9" s="20">
        <f>'伤害统计(理想)'!B9</f>
        <v>51</v>
      </c>
      <c r="C9" s="8">
        <f>C2</f>
        <v>34500</v>
      </c>
      <c r="D9" s="20">
        <f>D2</f>
        <v>45892</v>
      </c>
      <c r="E9" s="20">
        <f>'伤害统计(理想)'!E9</f>
        <v>0.5453</v>
      </c>
      <c r="F9" s="20">
        <f>'伤害统计(理想)'!F9</f>
        <v>1</v>
      </c>
      <c r="G9" s="20">
        <f>'伤害统计(理想)'!G9</f>
        <v>0</v>
      </c>
      <c r="H9" s="20">
        <f>'伤害统计(理想)'!H9</f>
        <v>0</v>
      </c>
      <c r="I9" s="20">
        <f>'伤害统计(理想)'!I9</f>
        <v>0.05</v>
      </c>
      <c r="J9" s="20">
        <f>'伤害统计(理想)'!J9</f>
        <v>0.472</v>
      </c>
      <c r="K9" s="20">
        <f>'伤害统计(理想)'!K9</f>
        <v>0.1181</v>
      </c>
      <c r="L9" s="20">
        <f>'伤害统计(理想)'!L9</f>
        <v>0.177214436704937</v>
      </c>
      <c r="M9" s="20">
        <f>'伤害统计(理想)'!M9</f>
        <v>0.3473</v>
      </c>
      <c r="N9" s="20">
        <f>'伤害统计(理想)'!N9</f>
        <v>0.2</v>
      </c>
      <c r="O9" s="20">
        <f>'伤害统计(理想)'!O9</f>
        <v>0.4994</v>
      </c>
      <c r="P9" s="20">
        <f>'伤害统计(理想)'!P9</f>
        <v>0</v>
      </c>
      <c r="Q9" s="20">
        <f>'伤害统计(理想)'!Q9</f>
        <v>0.4994</v>
      </c>
      <c r="R9" s="20">
        <f>'伤害统计(理想)'!R9</f>
        <v>0.2441</v>
      </c>
      <c r="S9" s="20">
        <f>'伤害统计(理想)'!S9</f>
        <v>0.7435</v>
      </c>
      <c r="T9" s="20">
        <f>'伤害统计(理想)'!T9</f>
        <v>2.0895</v>
      </c>
      <c r="U9" s="20">
        <f>'伤害统计(理想)'!U9</f>
        <v>0</v>
      </c>
      <c r="V9" s="20">
        <f>'伤害统计(理想)'!V9</f>
        <v>2.0895</v>
      </c>
      <c r="W9" s="20">
        <f>'伤害统计(理想)'!W9</f>
        <v>0.2441</v>
      </c>
      <c r="X9" s="20">
        <f>'伤害统计(理想)'!X9</f>
        <v>2.3336</v>
      </c>
      <c r="Y9" s="20">
        <f>'伤害统计(理想)'!Y9</f>
        <v>0.2441</v>
      </c>
      <c r="Z9" s="20">
        <f>'伤害统计(理想)'!Z9</f>
        <v>2.3336</v>
      </c>
      <c r="AA9" s="20">
        <f>'伤害统计(理想)'!AA9</f>
        <v>0.1953</v>
      </c>
      <c r="AB9" s="20">
        <f>'伤害统计(理想)'!AB9</f>
        <v>2.5289</v>
      </c>
      <c r="AC9" s="20">
        <f t="shared" si="0"/>
        <v>34369</v>
      </c>
      <c r="AD9" s="20">
        <f t="shared" si="1"/>
        <v>47264</v>
      </c>
      <c r="AE9" s="20">
        <f t="shared" si="2"/>
        <v>51056</v>
      </c>
      <c r="AF9" s="20">
        <f t="shared" si="3"/>
        <v>71814</v>
      </c>
      <c r="AG9" s="20">
        <f t="shared" si="4"/>
        <v>110295</v>
      </c>
      <c r="AH9" s="20">
        <f t="shared" si="11"/>
        <v>129355</v>
      </c>
      <c r="AI9" s="20">
        <f t="shared" si="5"/>
        <v>40817</v>
      </c>
      <c r="AJ9" s="20">
        <f t="shared" si="6"/>
        <v>95250</v>
      </c>
      <c r="AK9" s="20">
        <f t="shared" si="7"/>
        <v>44092</v>
      </c>
      <c r="AL9" s="20">
        <f t="shared" si="8"/>
        <v>102893</v>
      </c>
      <c r="AM9" s="20">
        <f t="shared" si="9"/>
        <v>119525</v>
      </c>
      <c r="AN9" s="20">
        <f t="shared" si="10"/>
        <v>129115</v>
      </c>
    </row>
    <row r="10" spans="1:40">
      <c r="A10" s="20" t="str">
        <f>'伤害统计(理想)'!A10</f>
        <v>四象轮回</v>
      </c>
      <c r="B10" s="20">
        <f>'伤害统计(理想)'!B10</f>
        <v>1000</v>
      </c>
      <c r="C10" s="8">
        <f>C2</f>
        <v>34500</v>
      </c>
      <c r="D10" s="20">
        <f>D2</f>
        <v>45892</v>
      </c>
      <c r="E10" s="20">
        <f>'伤害统计(理想)'!E10</f>
        <v>2.29640625</v>
      </c>
      <c r="F10" s="20">
        <f>'伤害统计(理想)'!F10</f>
        <v>1</v>
      </c>
      <c r="G10" s="20">
        <f>'伤害统计(理想)'!G10</f>
        <v>0</v>
      </c>
      <c r="H10" s="20">
        <f>'伤害统计(理想)'!H10</f>
        <v>0.2</v>
      </c>
      <c r="I10" s="20">
        <f>'伤害统计(理想)'!I10</f>
        <v>0.05</v>
      </c>
      <c r="J10" s="20">
        <f>'伤害统计(理想)'!J10</f>
        <v>0.472</v>
      </c>
      <c r="K10" s="20">
        <f>'伤害统计(理想)'!K10</f>
        <v>0.1181</v>
      </c>
      <c r="L10" s="20">
        <f>'伤害统计(理想)'!L10</f>
        <v>0.177214436704937</v>
      </c>
      <c r="M10" s="20">
        <f>'伤害统计(理想)'!M10</f>
        <v>0.3473</v>
      </c>
      <c r="N10" s="20">
        <f>'伤害统计(理想)'!N10</f>
        <v>0.2</v>
      </c>
      <c r="O10" s="20">
        <f>'伤害统计(理想)'!O10</f>
        <v>0.4994</v>
      </c>
      <c r="P10" s="20">
        <f>'伤害统计(理想)'!P10</f>
        <v>0.17</v>
      </c>
      <c r="Q10" s="20">
        <f>'伤害统计(理想)'!Q10</f>
        <v>0.6694</v>
      </c>
      <c r="R10" s="20">
        <f>'伤害统计(理想)'!R10</f>
        <v>0.2441</v>
      </c>
      <c r="S10" s="20">
        <f>'伤害统计(理想)'!S10</f>
        <v>0.9135</v>
      </c>
      <c r="T10" s="20">
        <f>'伤害统计(理想)'!T10</f>
        <v>2.0895</v>
      </c>
      <c r="U10" s="20">
        <f>'伤害统计(理想)'!U10</f>
        <v>0.1</v>
      </c>
      <c r="V10" s="20">
        <f>'伤害统计(理想)'!V10</f>
        <v>2.1895</v>
      </c>
      <c r="W10" s="20">
        <f>'伤害统计(理想)'!W10</f>
        <v>0.2441</v>
      </c>
      <c r="X10" s="20">
        <f>'伤害统计(理想)'!X10</f>
        <v>2.4336</v>
      </c>
      <c r="Y10" s="20">
        <f>'伤害统计(理想)'!Y10</f>
        <v>0.2441</v>
      </c>
      <c r="Z10" s="20">
        <f>'伤害统计(理想)'!Z10</f>
        <v>2.4336</v>
      </c>
      <c r="AA10" s="20">
        <f>'伤害统计(理想)'!AA10</f>
        <v>0.1953</v>
      </c>
      <c r="AB10" s="20">
        <f>'伤害统计(理想)'!AB10</f>
        <v>2.6289</v>
      </c>
      <c r="AC10" s="20">
        <f t="shared" si="0"/>
        <v>174986</v>
      </c>
      <c r="AD10" s="20">
        <f t="shared" si="1"/>
        <v>240143</v>
      </c>
      <c r="AE10" s="20">
        <f t="shared" si="2"/>
        <v>259410</v>
      </c>
      <c r="AF10" s="20">
        <f t="shared" si="3"/>
        <v>383131</v>
      </c>
      <c r="AG10" s="20">
        <f t="shared" si="4"/>
        <v>584412</v>
      </c>
      <c r="AH10" s="20">
        <f t="shared" si="11"/>
        <v>683182</v>
      </c>
      <c r="AI10" s="20">
        <f t="shared" si="5"/>
        <v>207565</v>
      </c>
      <c r="AJ10" s="20">
        <f t="shared" si="6"/>
        <v>505130</v>
      </c>
      <c r="AK10" s="20">
        <f t="shared" si="7"/>
        <v>224218</v>
      </c>
      <c r="AL10" s="20">
        <f t="shared" si="8"/>
        <v>545656</v>
      </c>
      <c r="AM10" s="20">
        <f t="shared" si="9"/>
        <v>631311</v>
      </c>
      <c r="AN10" s="20">
        <f t="shared" si="10"/>
        <v>681962</v>
      </c>
    </row>
    <row r="11" spans="1:40">
      <c r="A11" s="20" t="str">
        <f>'伤害统计(理想)'!A11</f>
        <v>两仪化形</v>
      </c>
      <c r="B11" s="20">
        <f>'伤害统计(理想)'!B11</f>
        <v>2739</v>
      </c>
      <c r="C11" s="8">
        <f>C2</f>
        <v>34500</v>
      </c>
      <c r="D11" s="20">
        <f>D2</f>
        <v>45892</v>
      </c>
      <c r="E11" s="20">
        <f>'伤害统计(理想)'!E11</f>
        <v>2.000625</v>
      </c>
      <c r="F11" s="20">
        <f>'伤害统计(理想)'!F11</f>
        <v>1</v>
      </c>
      <c r="G11" s="20">
        <f>'伤害统计(理想)'!G11</f>
        <v>0.09</v>
      </c>
      <c r="H11" s="20">
        <f>'伤害统计(理想)'!H11</f>
        <v>0.2</v>
      </c>
      <c r="I11" s="20">
        <f>'伤害统计(理想)'!I11</f>
        <v>0.05</v>
      </c>
      <c r="J11" s="20">
        <f>'伤害统计(理想)'!J11</f>
        <v>0.472</v>
      </c>
      <c r="K11" s="20">
        <f>'伤害统计(理想)'!K11</f>
        <v>0.1181</v>
      </c>
      <c r="L11" s="20">
        <f>'伤害统计(理想)'!L11</f>
        <v>0.177214436704937</v>
      </c>
      <c r="M11" s="20">
        <f>'伤害统计(理想)'!M11</f>
        <v>0.3473</v>
      </c>
      <c r="N11" s="20">
        <f>'伤害统计(理想)'!N11</f>
        <v>0.2</v>
      </c>
      <c r="O11" s="20">
        <f>'伤害统计(理想)'!O11</f>
        <v>0.4994</v>
      </c>
      <c r="P11" s="20">
        <f>'伤害统计(理想)'!P11</f>
        <v>0.04</v>
      </c>
      <c r="Q11" s="20">
        <f>'伤害统计(理想)'!Q11</f>
        <v>0.5394</v>
      </c>
      <c r="R11" s="20">
        <f>'伤害统计(理想)'!R11</f>
        <v>0.2441</v>
      </c>
      <c r="S11" s="20">
        <f>'伤害统计(理想)'!S11</f>
        <v>0.7835</v>
      </c>
      <c r="T11" s="20">
        <f>'伤害统计(理想)'!T11</f>
        <v>2.0895</v>
      </c>
      <c r="U11" s="20">
        <f>'伤害统计(理想)'!U11</f>
        <v>0</v>
      </c>
      <c r="V11" s="20">
        <f>'伤害统计(理想)'!V11</f>
        <v>2.0895</v>
      </c>
      <c r="W11" s="20">
        <f>'伤害统计(理想)'!W11</f>
        <v>0.2441</v>
      </c>
      <c r="X11" s="20">
        <f>'伤害统计(理想)'!X11</f>
        <v>2.3336</v>
      </c>
      <c r="Y11" s="20">
        <f>'伤害统计(理想)'!Y11</f>
        <v>0.2441</v>
      </c>
      <c r="Z11" s="20">
        <f>'伤害统计(理想)'!Z11</f>
        <v>2.3336</v>
      </c>
      <c r="AA11" s="20">
        <f>'伤害统计(理想)'!AA11</f>
        <v>0.1953</v>
      </c>
      <c r="AB11" s="20">
        <f>'伤害统计(理想)'!AB11</f>
        <v>2.5289</v>
      </c>
      <c r="AC11" s="20">
        <f t="shared" si="0"/>
        <v>167183</v>
      </c>
      <c r="AD11" s="20">
        <f t="shared" si="1"/>
        <v>228206</v>
      </c>
      <c r="AE11" s="20">
        <f t="shared" si="2"/>
        <v>246515</v>
      </c>
      <c r="AF11" s="20">
        <f t="shared" si="3"/>
        <v>349328</v>
      </c>
      <c r="AG11" s="20">
        <f t="shared" si="4"/>
        <v>532541</v>
      </c>
      <c r="AH11" s="20">
        <f t="shared" si="11"/>
        <v>624570</v>
      </c>
      <c r="AI11" s="20">
        <f t="shared" si="5"/>
        <v>197695</v>
      </c>
      <c r="AJ11" s="20">
        <f t="shared" si="6"/>
        <v>461341</v>
      </c>
      <c r="AK11" s="20">
        <f t="shared" si="7"/>
        <v>213556</v>
      </c>
      <c r="AL11" s="20">
        <f t="shared" si="8"/>
        <v>498354</v>
      </c>
      <c r="AM11" s="20">
        <f t="shared" si="9"/>
        <v>577110</v>
      </c>
      <c r="AN11" s="20">
        <f t="shared" si="10"/>
        <v>623411</v>
      </c>
    </row>
    <row r="12" spans="1:40">
      <c r="A12" s="20" t="str">
        <f>'伤害统计(理想)'!A12</f>
        <v>两仪化形(4</v>
      </c>
      <c r="B12" s="20">
        <f>'伤害统计(理想)'!B12</f>
        <v>2466</v>
      </c>
      <c r="C12" s="8">
        <f>C2</f>
        <v>34500</v>
      </c>
      <c r="D12" s="20">
        <f>D2</f>
        <v>45892</v>
      </c>
      <c r="E12" s="20">
        <f>'伤害统计(理想)'!E12</f>
        <v>1.654186908</v>
      </c>
      <c r="F12" s="20">
        <f>'伤害统计(理想)'!F12</f>
        <v>1</v>
      </c>
      <c r="G12" s="20">
        <f>'伤害统计(理想)'!G12</f>
        <v>0.09</v>
      </c>
      <c r="H12" s="20">
        <f>'伤害统计(理想)'!H12</f>
        <v>0.2</v>
      </c>
      <c r="I12" s="20">
        <f>'伤害统计(理想)'!I12</f>
        <v>0.05</v>
      </c>
      <c r="J12" s="20">
        <f>'伤害统计(理想)'!J12</f>
        <v>0.472</v>
      </c>
      <c r="K12" s="20">
        <f>'伤害统计(理想)'!K12</f>
        <v>0.1181</v>
      </c>
      <c r="L12" s="20">
        <f>'伤害统计(理想)'!L12</f>
        <v>0.177214436704937</v>
      </c>
      <c r="M12" s="20">
        <f>'伤害统计(理想)'!M12</f>
        <v>0.3473</v>
      </c>
      <c r="N12" s="20">
        <f>'伤害统计(理想)'!N12</f>
        <v>0.2</v>
      </c>
      <c r="O12" s="20">
        <f>'伤害统计(理想)'!O12</f>
        <v>0.4994</v>
      </c>
      <c r="P12" s="20">
        <f>'伤害统计(理想)'!P12</f>
        <v>0.04</v>
      </c>
      <c r="Q12" s="20">
        <f>'伤害统计(理想)'!Q12</f>
        <v>0.5394</v>
      </c>
      <c r="R12" s="20">
        <f>'伤害统计(理想)'!R12</f>
        <v>0.2441</v>
      </c>
      <c r="S12" s="20">
        <f>'伤害统计(理想)'!S12</f>
        <v>0.7835</v>
      </c>
      <c r="T12" s="20">
        <f>'伤害统计(理想)'!T12</f>
        <v>2.0895</v>
      </c>
      <c r="U12" s="20">
        <f>'伤害统计(理想)'!U12</f>
        <v>0</v>
      </c>
      <c r="V12" s="20">
        <f>'伤害统计(理想)'!V12</f>
        <v>2.0895</v>
      </c>
      <c r="W12" s="20">
        <f>'伤害统计(理想)'!W12</f>
        <v>0.2441</v>
      </c>
      <c r="X12" s="20">
        <f>'伤害统计(理想)'!X12</f>
        <v>2.3336</v>
      </c>
      <c r="Y12" s="20">
        <f>'伤害统计(理想)'!Y12</f>
        <v>0.2441</v>
      </c>
      <c r="Z12" s="20">
        <f>'伤害统计(理想)'!Z12</f>
        <v>2.3336</v>
      </c>
      <c r="AA12" s="20">
        <f>'伤害统计(理想)'!AA12</f>
        <v>0.1953</v>
      </c>
      <c r="AB12" s="20">
        <f>'伤害统计(理想)'!AB12</f>
        <v>2.5289</v>
      </c>
      <c r="AC12" s="20">
        <f t="shared" si="0"/>
        <v>138588</v>
      </c>
      <c r="AD12" s="20">
        <f t="shared" si="1"/>
        <v>189044</v>
      </c>
      <c r="AE12" s="20">
        <f t="shared" si="2"/>
        <v>204212</v>
      </c>
      <c r="AF12" s="20">
        <f t="shared" si="3"/>
        <v>289579</v>
      </c>
      <c r="AG12" s="20">
        <f t="shared" si="4"/>
        <v>441153</v>
      </c>
      <c r="AH12" s="20">
        <f t="shared" si="11"/>
        <v>517391</v>
      </c>
      <c r="AI12" s="20">
        <f t="shared" si="5"/>
        <v>163817</v>
      </c>
      <c r="AJ12" s="20">
        <f t="shared" si="6"/>
        <v>382283</v>
      </c>
      <c r="AK12" s="20">
        <f t="shared" si="7"/>
        <v>176960</v>
      </c>
      <c r="AL12" s="20">
        <f t="shared" si="8"/>
        <v>412953</v>
      </c>
      <c r="AM12" s="20">
        <f t="shared" si="9"/>
        <v>478073</v>
      </c>
      <c r="AN12" s="20">
        <f t="shared" si="10"/>
        <v>516431</v>
      </c>
    </row>
    <row r="13" spans="1:40">
      <c r="A13" s="20" t="str">
        <f>'伤害统计(理想)'!A13</f>
        <v>两仪化形(3.5</v>
      </c>
      <c r="B13" s="20">
        <f>'伤害统计(理想)'!B13</f>
        <v>2191</v>
      </c>
      <c r="C13" s="8">
        <f>C2</f>
        <v>34500</v>
      </c>
      <c r="D13" s="20">
        <f>D2</f>
        <v>45892</v>
      </c>
      <c r="E13" s="20">
        <f>'伤害统计(理想)'!E13</f>
        <v>1.4586550308</v>
      </c>
      <c r="F13" s="20">
        <f>'伤害统计(理想)'!F13</f>
        <v>1</v>
      </c>
      <c r="G13" s="20">
        <f>'伤害统计(理想)'!G13</f>
        <v>0.09</v>
      </c>
      <c r="H13" s="20">
        <f>'伤害统计(理想)'!H13</f>
        <v>0.2</v>
      </c>
      <c r="I13" s="20">
        <f>'伤害统计(理想)'!I13</f>
        <v>0.05</v>
      </c>
      <c r="J13" s="20">
        <f>'伤害统计(理想)'!J13</f>
        <v>0.472</v>
      </c>
      <c r="K13" s="20">
        <f>'伤害统计(理想)'!K13</f>
        <v>0.1181</v>
      </c>
      <c r="L13" s="20">
        <f>'伤害统计(理想)'!L13</f>
        <v>0.177214436704937</v>
      </c>
      <c r="M13" s="20">
        <f>'伤害统计(理想)'!M13</f>
        <v>0.3473</v>
      </c>
      <c r="N13" s="20">
        <f>'伤害统计(理想)'!N13</f>
        <v>0.2</v>
      </c>
      <c r="O13" s="20">
        <f>'伤害统计(理想)'!O13</f>
        <v>0.4994</v>
      </c>
      <c r="P13" s="20">
        <f>'伤害统计(理想)'!P13</f>
        <v>0.04</v>
      </c>
      <c r="Q13" s="20">
        <f>'伤害统计(理想)'!Q13</f>
        <v>0.5394</v>
      </c>
      <c r="R13" s="20">
        <f>'伤害统计(理想)'!R13</f>
        <v>0.2441</v>
      </c>
      <c r="S13" s="20">
        <f>'伤害统计(理想)'!S13</f>
        <v>0.7835</v>
      </c>
      <c r="T13" s="20">
        <f>'伤害统计(理想)'!T13</f>
        <v>2.0895</v>
      </c>
      <c r="U13" s="20">
        <f>'伤害统计(理想)'!U13</f>
        <v>0</v>
      </c>
      <c r="V13" s="20">
        <f>'伤害统计(理想)'!V13</f>
        <v>2.0895</v>
      </c>
      <c r="W13" s="20">
        <f>'伤害统计(理想)'!W13</f>
        <v>0.2441</v>
      </c>
      <c r="X13" s="20">
        <f>'伤害统计(理想)'!X13</f>
        <v>2.3336</v>
      </c>
      <c r="Y13" s="20">
        <f>'伤害统计(理想)'!Y13</f>
        <v>0.2441</v>
      </c>
      <c r="Z13" s="20">
        <f>'伤害统计(理想)'!Z13</f>
        <v>2.3336</v>
      </c>
      <c r="AA13" s="20">
        <f>'伤害统计(理想)'!AA13</f>
        <v>0.1953</v>
      </c>
      <c r="AB13" s="20">
        <f>'伤害统计(理想)'!AB13</f>
        <v>2.5289</v>
      </c>
      <c r="AC13" s="20">
        <f t="shared" si="0"/>
        <v>122236</v>
      </c>
      <c r="AD13" s="20">
        <f t="shared" si="1"/>
        <v>166728</v>
      </c>
      <c r="AE13" s="20">
        <f t="shared" si="2"/>
        <v>180104</v>
      </c>
      <c r="AF13" s="20">
        <f t="shared" si="3"/>
        <v>255412</v>
      </c>
      <c r="AG13" s="20">
        <f t="shared" si="4"/>
        <v>389076</v>
      </c>
      <c r="AH13" s="20">
        <f t="shared" si="11"/>
        <v>456311</v>
      </c>
      <c r="AI13" s="20">
        <f t="shared" si="5"/>
        <v>144482</v>
      </c>
      <c r="AJ13" s="20">
        <f t="shared" si="6"/>
        <v>337163</v>
      </c>
      <c r="AK13" s="20">
        <f t="shared" si="7"/>
        <v>156074</v>
      </c>
      <c r="AL13" s="20">
        <f t="shared" si="8"/>
        <v>364214</v>
      </c>
      <c r="AM13" s="20">
        <f t="shared" si="9"/>
        <v>421638</v>
      </c>
      <c r="AN13" s="20">
        <f t="shared" si="10"/>
        <v>455465</v>
      </c>
    </row>
    <row r="14" spans="1:40">
      <c r="A14" s="20" t="str">
        <f>'伤害统计(理想)'!A14</f>
        <v>六合1</v>
      </c>
      <c r="B14" s="20">
        <f>'伤害统计(理想)'!B14</f>
        <v>90</v>
      </c>
      <c r="C14" s="8">
        <f>C2</f>
        <v>34500</v>
      </c>
      <c r="D14" s="20">
        <f>D2</f>
        <v>45892</v>
      </c>
      <c r="E14" s="20">
        <f>'伤害统计(理想)'!E14</f>
        <v>0.854167</v>
      </c>
      <c r="F14" s="20">
        <f>'伤害统计(理想)'!F14</f>
        <v>1</v>
      </c>
      <c r="G14" s="20">
        <f>'伤害统计(理想)'!G14</f>
        <v>0</v>
      </c>
      <c r="H14" s="20">
        <f>'伤害统计(理想)'!H14</f>
        <v>0</v>
      </c>
      <c r="I14" s="20">
        <f>'伤害统计(理想)'!I14</f>
        <v>0.05</v>
      </c>
      <c r="J14" s="20">
        <f>'伤害统计(理想)'!J14</f>
        <v>0.472</v>
      </c>
      <c r="K14" s="20">
        <f>'伤害统计(理想)'!K14</f>
        <v>0.1181</v>
      </c>
      <c r="L14" s="20">
        <f>'伤害统计(理想)'!L14</f>
        <v>0.177214436704937</v>
      </c>
      <c r="M14" s="20">
        <f>'伤害统计(理想)'!M14</f>
        <v>0.3473</v>
      </c>
      <c r="N14" s="20">
        <f>'伤害统计(理想)'!N14</f>
        <v>0.2</v>
      </c>
      <c r="O14" s="20">
        <f>'伤害统计(理想)'!O14</f>
        <v>0.4994</v>
      </c>
      <c r="P14" s="20">
        <f>'伤害统计(理想)'!P14</f>
        <v>0</v>
      </c>
      <c r="Q14" s="20">
        <f>'伤害统计(理想)'!Q14</f>
        <v>0.4994</v>
      </c>
      <c r="R14" s="20">
        <f>'伤害统计(理想)'!R14</f>
        <v>0.2441</v>
      </c>
      <c r="S14" s="20">
        <f>'伤害统计(理想)'!S14</f>
        <v>0.7435</v>
      </c>
      <c r="T14" s="20">
        <f>'伤害统计(理想)'!T14</f>
        <v>2.0895</v>
      </c>
      <c r="U14" s="20">
        <f>'伤害统计(理想)'!U14</f>
        <v>0</v>
      </c>
      <c r="V14" s="20">
        <f>'伤害统计(理想)'!V14</f>
        <v>2.0895</v>
      </c>
      <c r="W14" s="20">
        <f>'伤害统计(理想)'!W14</f>
        <v>0.2441</v>
      </c>
      <c r="X14" s="20">
        <f>'伤害统计(理想)'!X14</f>
        <v>2.3336</v>
      </c>
      <c r="Y14" s="20">
        <f>'伤害统计(理想)'!Y14</f>
        <v>0.2441</v>
      </c>
      <c r="Z14" s="20">
        <f>'伤害统计(理想)'!Z14</f>
        <v>2.3336</v>
      </c>
      <c r="AA14" s="20">
        <f>'伤害统计(理想)'!AA14</f>
        <v>0.1953</v>
      </c>
      <c r="AB14" s="20">
        <f>'伤害统计(理想)'!AB14</f>
        <v>2.5289</v>
      </c>
      <c r="AC14" s="20">
        <f t="shared" si="0"/>
        <v>53852</v>
      </c>
      <c r="AD14" s="20">
        <f t="shared" si="1"/>
        <v>74049</v>
      </c>
      <c r="AE14" s="20">
        <f t="shared" si="2"/>
        <v>79990</v>
      </c>
      <c r="AF14" s="20">
        <f t="shared" si="3"/>
        <v>112523</v>
      </c>
      <c r="AG14" s="20">
        <f t="shared" si="4"/>
        <v>172800</v>
      </c>
      <c r="AH14" s="20">
        <f t="shared" si="11"/>
        <v>202662</v>
      </c>
      <c r="AI14" s="20">
        <f t="shared" si="5"/>
        <v>63951</v>
      </c>
      <c r="AJ14" s="20">
        <f t="shared" si="6"/>
        <v>149236</v>
      </c>
      <c r="AK14" s="20">
        <f t="shared" si="7"/>
        <v>69082</v>
      </c>
      <c r="AL14" s="20">
        <f t="shared" si="8"/>
        <v>161209</v>
      </c>
      <c r="AM14" s="20">
        <f t="shared" si="9"/>
        <v>187262</v>
      </c>
      <c r="AN14" s="20">
        <f t="shared" si="10"/>
        <v>202286</v>
      </c>
    </row>
    <row r="15" spans="1:40">
      <c r="A15" s="20" t="str">
        <f>'伤害统计(理想)'!A15</f>
        <v>六合2</v>
      </c>
      <c r="B15" s="20">
        <f>'伤害统计(理想)'!B15</f>
        <v>90</v>
      </c>
      <c r="C15" s="8">
        <f>C2</f>
        <v>34500</v>
      </c>
      <c r="D15" s="20">
        <f>D2</f>
        <v>45892</v>
      </c>
      <c r="E15" s="20">
        <f>'伤害统计(理想)'!E15</f>
        <v>0.854167</v>
      </c>
      <c r="F15" s="20">
        <f>'伤害统计(理想)'!F15</f>
        <v>1</v>
      </c>
      <c r="G15" s="20">
        <f>'伤害统计(理想)'!G15</f>
        <v>0</v>
      </c>
      <c r="H15" s="20">
        <f>'伤害统计(理想)'!H15</f>
        <v>0.35</v>
      </c>
      <c r="I15" s="20">
        <f>'伤害统计(理想)'!I15</f>
        <v>0.05</v>
      </c>
      <c r="J15" s="20">
        <f>'伤害统计(理想)'!J15</f>
        <v>0.472</v>
      </c>
      <c r="K15" s="20">
        <f>'伤害统计(理想)'!K15</f>
        <v>0.1181</v>
      </c>
      <c r="L15" s="20">
        <f>'伤害统计(理想)'!L15</f>
        <v>0.177214436704937</v>
      </c>
      <c r="M15" s="20">
        <f>'伤害统计(理想)'!M15</f>
        <v>0.3473</v>
      </c>
      <c r="N15" s="20">
        <f>'伤害统计(理想)'!N15</f>
        <v>0.2</v>
      </c>
      <c r="O15" s="20">
        <f>'伤害统计(理想)'!O15</f>
        <v>0.4994</v>
      </c>
      <c r="P15" s="20">
        <f>'伤害统计(理想)'!P15</f>
        <v>0</v>
      </c>
      <c r="Q15" s="20">
        <f>'伤害统计(理想)'!Q15</f>
        <v>0.4994</v>
      </c>
      <c r="R15" s="20">
        <f>'伤害统计(理想)'!R15</f>
        <v>0.2441</v>
      </c>
      <c r="S15" s="20">
        <f>'伤害统计(理想)'!S15</f>
        <v>0.7435</v>
      </c>
      <c r="T15" s="20">
        <f>'伤害统计(理想)'!T15</f>
        <v>2.0895</v>
      </c>
      <c r="U15" s="20">
        <f>'伤害统计(理想)'!U15</f>
        <v>0</v>
      </c>
      <c r="V15" s="20">
        <f>'伤害统计(理想)'!V15</f>
        <v>2.0895</v>
      </c>
      <c r="W15" s="20">
        <f>'伤害统计(理想)'!W15</f>
        <v>0.2441</v>
      </c>
      <c r="X15" s="20">
        <f>'伤害统计(理想)'!X15</f>
        <v>2.3336</v>
      </c>
      <c r="Y15" s="20">
        <f>'伤害统计(理想)'!Y15</f>
        <v>0.2441</v>
      </c>
      <c r="Z15" s="20">
        <f>'伤害统计(理想)'!Z15</f>
        <v>2.3336</v>
      </c>
      <c r="AA15" s="20">
        <f>'伤害统计(理想)'!AA15</f>
        <v>0.1953</v>
      </c>
      <c r="AB15" s="20">
        <f>'伤害统计(理想)'!AB15</f>
        <v>2.5289</v>
      </c>
      <c r="AC15" s="20">
        <f t="shared" si="0"/>
        <v>72701</v>
      </c>
      <c r="AD15" s="20">
        <f t="shared" si="1"/>
        <v>99967</v>
      </c>
      <c r="AE15" s="20">
        <f t="shared" si="2"/>
        <v>107987</v>
      </c>
      <c r="AF15" s="20">
        <f t="shared" si="3"/>
        <v>151908</v>
      </c>
      <c r="AG15" s="20">
        <f t="shared" si="4"/>
        <v>233282</v>
      </c>
      <c r="AH15" s="20">
        <f>INT(AE15*(T15+U15+0.4441+按提示输入属性!D64*0.1953))</f>
        <v>294685</v>
      </c>
      <c r="AI15" s="20">
        <f t="shared" si="5"/>
        <v>86334</v>
      </c>
      <c r="AJ15" s="20">
        <f t="shared" si="6"/>
        <v>201469</v>
      </c>
      <c r="AK15" s="20">
        <f t="shared" si="7"/>
        <v>93261</v>
      </c>
      <c r="AL15" s="20">
        <f t="shared" si="8"/>
        <v>217633</v>
      </c>
      <c r="AM15" s="20">
        <f t="shared" si="9"/>
        <v>252806</v>
      </c>
      <c r="AN15" s="20">
        <f t="shared" si="10"/>
        <v>273088</v>
      </c>
    </row>
    <row r="16" spans="1:40">
      <c r="A16" s="20" t="str">
        <f>'伤害统计(理想)'!A16</f>
        <v>六合3</v>
      </c>
      <c r="B16" s="20">
        <f>'伤害统计(理想)'!B16</f>
        <v>90</v>
      </c>
      <c r="C16" s="8">
        <f>C2</f>
        <v>34500</v>
      </c>
      <c r="D16" s="20">
        <f>D2</f>
        <v>45892</v>
      </c>
      <c r="E16" s="20">
        <f>'伤害统计(理想)'!E16</f>
        <v>0.854167</v>
      </c>
      <c r="F16" s="20">
        <f>'伤害统计(理想)'!F16</f>
        <v>1</v>
      </c>
      <c r="G16" s="20">
        <f>'伤害统计(理想)'!G16</f>
        <v>0</v>
      </c>
      <c r="H16" s="20">
        <f>'伤害统计(理想)'!H16</f>
        <v>0.7</v>
      </c>
      <c r="I16" s="20">
        <f>'伤害统计(理想)'!I16</f>
        <v>0.05</v>
      </c>
      <c r="J16" s="20">
        <f>'伤害统计(理想)'!J16</f>
        <v>0.472</v>
      </c>
      <c r="K16" s="20">
        <f>'伤害统计(理想)'!K16</f>
        <v>0.1181</v>
      </c>
      <c r="L16" s="20">
        <f>'伤害统计(理想)'!L16</f>
        <v>0.177214436704937</v>
      </c>
      <c r="M16" s="20">
        <f>'伤害统计(理想)'!M16</f>
        <v>0.3473</v>
      </c>
      <c r="N16" s="20">
        <f>'伤害统计(理想)'!N16</f>
        <v>0.2</v>
      </c>
      <c r="O16" s="20">
        <f>'伤害统计(理想)'!O16</f>
        <v>0.4994</v>
      </c>
      <c r="P16" s="20">
        <f>'伤害统计(理想)'!P16</f>
        <v>0</v>
      </c>
      <c r="Q16" s="20">
        <f>'伤害统计(理想)'!Q16</f>
        <v>0.4994</v>
      </c>
      <c r="R16" s="20">
        <f>'伤害统计(理想)'!R16</f>
        <v>0.2441</v>
      </c>
      <c r="S16" s="20">
        <f>'伤害统计(理想)'!S16</f>
        <v>0.7435</v>
      </c>
      <c r="T16" s="20">
        <f>'伤害统计(理想)'!T16</f>
        <v>2.0895</v>
      </c>
      <c r="U16" s="20">
        <f>'伤害统计(理想)'!U16</f>
        <v>0</v>
      </c>
      <c r="V16" s="20">
        <f>'伤害统计(理想)'!V16</f>
        <v>2.0895</v>
      </c>
      <c r="W16" s="20">
        <f>'伤害统计(理想)'!W16</f>
        <v>0.2441</v>
      </c>
      <c r="X16" s="20">
        <f>'伤害统计(理想)'!X16</f>
        <v>2.3336</v>
      </c>
      <c r="Y16" s="20">
        <f>'伤害统计(理想)'!Y16</f>
        <v>0.2441</v>
      </c>
      <c r="Z16" s="20">
        <f>'伤害统计(理想)'!Z16</f>
        <v>2.3336</v>
      </c>
      <c r="AA16" s="20">
        <f>'伤害统计(理想)'!AA16</f>
        <v>0.1953</v>
      </c>
      <c r="AB16" s="20">
        <f>'伤害统计(理想)'!AB16</f>
        <v>2.5289</v>
      </c>
      <c r="AC16" s="20">
        <f t="shared" si="0"/>
        <v>91549</v>
      </c>
      <c r="AD16" s="20">
        <f t="shared" si="1"/>
        <v>125884</v>
      </c>
      <c r="AE16" s="20">
        <f t="shared" si="2"/>
        <v>135984</v>
      </c>
      <c r="AF16" s="20">
        <f t="shared" si="3"/>
        <v>191291</v>
      </c>
      <c r="AG16" s="20">
        <f t="shared" si="4"/>
        <v>293762</v>
      </c>
      <c r="AH16" s="20">
        <f>INT(AE16*(T16+U16+0.4441+按提示输入属性!D64*0.1953))</f>
        <v>371086</v>
      </c>
      <c r="AI16" s="20">
        <f t="shared" si="5"/>
        <v>108717</v>
      </c>
      <c r="AJ16" s="20">
        <f t="shared" si="6"/>
        <v>253701</v>
      </c>
      <c r="AK16" s="20">
        <f t="shared" si="7"/>
        <v>117440</v>
      </c>
      <c r="AL16" s="20">
        <f t="shared" si="8"/>
        <v>274057</v>
      </c>
      <c r="AM16" s="20">
        <f t="shared" si="9"/>
        <v>318348</v>
      </c>
      <c r="AN16" s="20">
        <f t="shared" si="10"/>
        <v>343889</v>
      </c>
    </row>
    <row r="17" spans="1:40">
      <c r="A17" s="20" t="str">
        <f>'伤害统计(理想)'!A17</f>
        <v>六合4</v>
      </c>
      <c r="B17" s="20">
        <f>'伤害统计(理想)'!B17</f>
        <v>90</v>
      </c>
      <c r="C17" s="8">
        <f>C2</f>
        <v>34500</v>
      </c>
      <c r="D17" s="20">
        <f>D2</f>
        <v>45892</v>
      </c>
      <c r="E17" s="20">
        <f>'伤害统计(理想)'!E17</f>
        <v>0.854167</v>
      </c>
      <c r="F17" s="20">
        <f>'伤害统计(理想)'!F17</f>
        <v>1</v>
      </c>
      <c r="G17" s="20">
        <f>'伤害统计(理想)'!G17</f>
        <v>0</v>
      </c>
      <c r="H17" s="20">
        <f>'伤害统计(理想)'!H17</f>
        <v>1.05</v>
      </c>
      <c r="I17" s="20">
        <f>'伤害统计(理想)'!I17</f>
        <v>0.05</v>
      </c>
      <c r="J17" s="20">
        <f>'伤害统计(理想)'!J17</f>
        <v>0.472</v>
      </c>
      <c r="K17" s="20">
        <f>'伤害统计(理想)'!K17</f>
        <v>0.1181</v>
      </c>
      <c r="L17" s="20">
        <f>'伤害统计(理想)'!L17</f>
        <v>0.177214436704937</v>
      </c>
      <c r="M17" s="20">
        <f>'伤害统计(理想)'!M17</f>
        <v>0.3473</v>
      </c>
      <c r="N17" s="20">
        <f>'伤害统计(理想)'!N17</f>
        <v>0.2</v>
      </c>
      <c r="O17" s="20">
        <f>'伤害统计(理想)'!O17</f>
        <v>0.4994</v>
      </c>
      <c r="P17" s="20">
        <f>'伤害统计(理想)'!P17</f>
        <v>0</v>
      </c>
      <c r="Q17" s="20">
        <f>'伤害统计(理想)'!Q17</f>
        <v>0.4994</v>
      </c>
      <c r="R17" s="20">
        <f>'伤害统计(理想)'!R17</f>
        <v>0.2441</v>
      </c>
      <c r="S17" s="20">
        <f>'伤害统计(理想)'!S17</f>
        <v>0.7435</v>
      </c>
      <c r="T17" s="20">
        <f>'伤害统计(理想)'!T17</f>
        <v>2.0895</v>
      </c>
      <c r="U17" s="20">
        <f>'伤害统计(理想)'!U17</f>
        <v>0</v>
      </c>
      <c r="V17" s="20">
        <f>'伤害统计(理想)'!V17</f>
        <v>2.0895</v>
      </c>
      <c r="W17" s="20">
        <f>'伤害统计(理想)'!W17</f>
        <v>0.2441</v>
      </c>
      <c r="X17" s="20">
        <f>'伤害统计(理想)'!X17</f>
        <v>2.3336</v>
      </c>
      <c r="Y17" s="20">
        <f>'伤害统计(理想)'!Y17</f>
        <v>0.2441</v>
      </c>
      <c r="Z17" s="20">
        <f>'伤害统计(理想)'!Z17</f>
        <v>2.3336</v>
      </c>
      <c r="AA17" s="20">
        <f>'伤害统计(理想)'!AA17</f>
        <v>0.1953</v>
      </c>
      <c r="AB17" s="20">
        <f>'伤害统计(理想)'!AB17</f>
        <v>2.5289</v>
      </c>
      <c r="AC17" s="20">
        <f t="shared" si="0"/>
        <v>110398</v>
      </c>
      <c r="AD17" s="20">
        <f t="shared" si="1"/>
        <v>151801</v>
      </c>
      <c r="AE17" s="20">
        <f t="shared" si="2"/>
        <v>163981</v>
      </c>
      <c r="AF17" s="20">
        <f t="shared" si="3"/>
        <v>230676</v>
      </c>
      <c r="AG17" s="20">
        <f t="shared" si="4"/>
        <v>354242</v>
      </c>
      <c r="AH17" s="20">
        <f>INT(AE17*(T17+U17+0.4441+按提示输入属性!D64*0.1953))</f>
        <v>447487</v>
      </c>
      <c r="AI17" s="20">
        <f t="shared" si="5"/>
        <v>131100</v>
      </c>
      <c r="AJ17" s="20">
        <f t="shared" si="6"/>
        <v>305934</v>
      </c>
      <c r="AK17" s="20">
        <f t="shared" si="7"/>
        <v>141619</v>
      </c>
      <c r="AL17" s="20">
        <f t="shared" si="8"/>
        <v>330482</v>
      </c>
      <c r="AM17" s="20">
        <f t="shared" si="9"/>
        <v>383889</v>
      </c>
      <c r="AN17" s="20">
        <f t="shared" si="10"/>
        <v>414691</v>
      </c>
    </row>
    <row r="18" spans="1:40">
      <c r="A18" s="20" t="str">
        <f>'伤害统计(理想)'!A18</f>
        <v>六合5</v>
      </c>
      <c r="B18" s="20">
        <f>'伤害统计(理想)'!B18</f>
        <v>90</v>
      </c>
      <c r="C18" s="8">
        <f>C2</f>
        <v>34500</v>
      </c>
      <c r="D18" s="20">
        <f>D2</f>
        <v>45892</v>
      </c>
      <c r="E18" s="20">
        <f>'伤害统计(理想)'!E18</f>
        <v>0.854167</v>
      </c>
      <c r="F18" s="20">
        <f>'伤害统计(理想)'!F18</f>
        <v>1</v>
      </c>
      <c r="G18" s="20">
        <f>'伤害统计(理想)'!G18</f>
        <v>0</v>
      </c>
      <c r="H18" s="20">
        <f>'伤害统计(理想)'!H18</f>
        <v>1.4</v>
      </c>
      <c r="I18" s="20">
        <f>'伤害统计(理想)'!I18</f>
        <v>0.05</v>
      </c>
      <c r="J18" s="20">
        <f>'伤害统计(理想)'!J18</f>
        <v>0.472</v>
      </c>
      <c r="K18" s="20">
        <f>'伤害统计(理想)'!K18</f>
        <v>0.1181</v>
      </c>
      <c r="L18" s="20">
        <f>'伤害统计(理想)'!L18</f>
        <v>0.177214436704937</v>
      </c>
      <c r="M18" s="20">
        <f>'伤害统计(理想)'!M18</f>
        <v>0.3473</v>
      </c>
      <c r="N18" s="20">
        <f>'伤害统计(理想)'!N18</f>
        <v>0.2</v>
      </c>
      <c r="O18" s="20">
        <f>'伤害统计(理想)'!O18</f>
        <v>0.4994</v>
      </c>
      <c r="P18" s="20">
        <f>'伤害统计(理想)'!P18</f>
        <v>0</v>
      </c>
      <c r="Q18" s="20">
        <f>'伤害统计(理想)'!Q18</f>
        <v>0.4994</v>
      </c>
      <c r="R18" s="20">
        <f>'伤害统计(理想)'!R18</f>
        <v>0.2441</v>
      </c>
      <c r="S18" s="20">
        <f>'伤害统计(理想)'!S18</f>
        <v>0.7435</v>
      </c>
      <c r="T18" s="20">
        <f>'伤害统计(理想)'!T18</f>
        <v>2.0895</v>
      </c>
      <c r="U18" s="20">
        <f>'伤害统计(理想)'!U18</f>
        <v>0</v>
      </c>
      <c r="V18" s="20">
        <f>'伤害统计(理想)'!V18</f>
        <v>2.0895</v>
      </c>
      <c r="W18" s="20">
        <f>'伤害统计(理想)'!W18</f>
        <v>0.2441</v>
      </c>
      <c r="X18" s="20">
        <f>'伤害统计(理想)'!X18</f>
        <v>2.3336</v>
      </c>
      <c r="Y18" s="20">
        <f>'伤害统计(理想)'!Y18</f>
        <v>0.2441</v>
      </c>
      <c r="Z18" s="20">
        <f>'伤害统计(理想)'!Z18</f>
        <v>2.3336</v>
      </c>
      <c r="AA18" s="20">
        <f>'伤害统计(理想)'!AA18</f>
        <v>0.1953</v>
      </c>
      <c r="AB18" s="20">
        <f>'伤害统计(理想)'!AB18</f>
        <v>2.5289</v>
      </c>
      <c r="AC18" s="20">
        <f t="shared" si="0"/>
        <v>129246</v>
      </c>
      <c r="AD18" s="20">
        <f t="shared" si="1"/>
        <v>177719</v>
      </c>
      <c r="AE18" s="20">
        <f t="shared" si="2"/>
        <v>191977</v>
      </c>
      <c r="AF18" s="20">
        <f t="shared" si="3"/>
        <v>270059</v>
      </c>
      <c r="AG18" s="20">
        <f t="shared" si="4"/>
        <v>414725</v>
      </c>
      <c r="AH18" s="20">
        <f>INT(AE18*(T18+U18+0.4441+按提示输入属性!D64*0.1953))</f>
        <v>523886</v>
      </c>
      <c r="AI18" s="20">
        <f t="shared" si="5"/>
        <v>153483</v>
      </c>
      <c r="AJ18" s="20">
        <f t="shared" si="6"/>
        <v>358167</v>
      </c>
      <c r="AK18" s="20">
        <f t="shared" si="7"/>
        <v>165797</v>
      </c>
      <c r="AL18" s="20">
        <f t="shared" si="8"/>
        <v>386903</v>
      </c>
      <c r="AM18" s="20">
        <f t="shared" si="9"/>
        <v>449433</v>
      </c>
      <c r="AN18" s="20">
        <f t="shared" si="10"/>
        <v>485490</v>
      </c>
    </row>
    <row r="19" spans="1:40">
      <c r="A19" s="20" t="str">
        <f>'伤害统计(理想)'!A19</f>
        <v>破</v>
      </c>
      <c r="B19" s="20">
        <f>'伤害统计(理想)'!B19</f>
        <v>0</v>
      </c>
      <c r="C19" s="20">
        <f>'伤害统计(理想)'!C19</f>
        <v>0</v>
      </c>
      <c r="D19" s="20">
        <f>'伤害统计(理想)'!D19</f>
        <v>21804</v>
      </c>
      <c r="E19" s="20">
        <f>'伤害统计(理想)'!E19</f>
        <v>10.94936</v>
      </c>
      <c r="F19" s="20">
        <f>'伤害统计(理想)'!F19</f>
        <v>1</v>
      </c>
      <c r="G19" s="20">
        <f>'伤害统计(理想)'!G19</f>
        <v>0</v>
      </c>
      <c r="H19" s="20">
        <f>'伤害统计(理想)'!H19</f>
        <v>0</v>
      </c>
      <c r="I19" s="20">
        <f>'伤害统计(理想)'!I19</f>
        <v>0.05</v>
      </c>
      <c r="J19" s="20">
        <f>'伤害统计(理想)'!J19</f>
        <v>0.472</v>
      </c>
      <c r="K19" s="20">
        <f>'伤害统计(理想)'!K19</f>
        <v>0.1181</v>
      </c>
      <c r="L19" s="20">
        <f>'伤害统计(理想)'!L19</f>
        <v>0.177214436704937</v>
      </c>
      <c r="M19" s="20">
        <f>'伤害统计(理想)'!M19</f>
        <v>0.3473</v>
      </c>
      <c r="N19" s="20">
        <f>'伤害统计(理想)'!N19</f>
        <v>0.2</v>
      </c>
      <c r="O19" s="20">
        <f>'伤害统计(理想)'!O19</f>
        <v>0.4994</v>
      </c>
      <c r="P19" s="20">
        <f>'伤害统计(理想)'!P19</f>
        <v>0</v>
      </c>
      <c r="Q19" s="20">
        <f>'伤害统计(理想)'!Q19</f>
        <v>0.4994</v>
      </c>
      <c r="R19" s="20">
        <f>'伤害统计(理想)'!R19</f>
        <v>0.2441</v>
      </c>
      <c r="S19" s="20">
        <f>'伤害统计(理想)'!S19</f>
        <v>0.7435</v>
      </c>
      <c r="T19" s="20">
        <f>'伤害统计(理想)'!T19</f>
        <v>2.0895</v>
      </c>
      <c r="U19" s="20">
        <f>'伤害统计(理想)'!U19</f>
        <v>0</v>
      </c>
      <c r="V19" s="20">
        <f>'伤害统计(理想)'!V19</f>
        <v>2.0895</v>
      </c>
      <c r="W19" s="20">
        <f>'伤害统计(理想)'!W19</f>
        <v>0.2441</v>
      </c>
      <c r="X19" s="20">
        <f>'伤害统计(理想)'!X19</f>
        <v>2.3336</v>
      </c>
      <c r="Y19" s="20">
        <f>'伤害统计(理想)'!Y19</f>
        <v>0.2441</v>
      </c>
      <c r="Z19" s="20">
        <f>'伤害统计(理想)'!Z19</f>
        <v>2.3336</v>
      </c>
      <c r="AA19" s="20">
        <f>'伤害统计(理想)'!AA19</f>
        <v>0.1953</v>
      </c>
      <c r="AB19" s="20">
        <f>'伤害统计(理想)'!AB19</f>
        <v>2.5289</v>
      </c>
      <c r="AC19" s="20">
        <f t="shared" si="0"/>
        <v>327236</v>
      </c>
      <c r="AD19" s="20">
        <f t="shared" si="1"/>
        <v>327237</v>
      </c>
      <c r="AE19" s="20">
        <f t="shared" si="2"/>
        <v>353492</v>
      </c>
      <c r="AF19" s="20">
        <f t="shared" si="3"/>
        <v>683759</v>
      </c>
      <c r="AG19" s="20">
        <f t="shared" si="4"/>
        <v>763640</v>
      </c>
      <c r="AH19" s="20">
        <f t="shared" ref="AH19:AH31" si="12">INT(AE19*(T19+U19+0.4441))</f>
        <v>895607</v>
      </c>
      <c r="AI19" s="20">
        <f t="shared" si="5"/>
        <v>327237</v>
      </c>
      <c r="AJ19" s="20">
        <f t="shared" si="6"/>
        <v>763640</v>
      </c>
      <c r="AK19" s="20">
        <f t="shared" si="7"/>
        <v>353492</v>
      </c>
      <c r="AL19" s="20">
        <f t="shared" si="8"/>
        <v>824908</v>
      </c>
      <c r="AM19" s="20">
        <f t="shared" si="9"/>
        <v>827549</v>
      </c>
      <c r="AN19" s="20">
        <f t="shared" si="10"/>
        <v>893945</v>
      </c>
    </row>
    <row r="20" spans="1:40">
      <c r="A20" s="20" t="str">
        <f>'伤害统计(理想)'!A20</f>
        <v>破(3.5</v>
      </c>
      <c r="B20" s="20">
        <f>'伤害统计(理想)'!B20</f>
        <v>0</v>
      </c>
      <c r="C20" s="20">
        <f>'伤害统计(理想)'!C20</f>
        <v>0</v>
      </c>
      <c r="D20" s="20">
        <f>'伤害统计(理想)'!D20</f>
        <v>21804</v>
      </c>
      <c r="E20" s="20">
        <f>'伤害统计(理想)'!E20</f>
        <v>3.9576</v>
      </c>
      <c r="F20" s="20">
        <f>'伤害统计(理想)'!F20</f>
        <v>1</v>
      </c>
      <c r="G20" s="20">
        <f>'伤害统计(理想)'!G20</f>
        <v>0</v>
      </c>
      <c r="H20" s="20">
        <f>'伤害统计(理想)'!H20</f>
        <v>0</v>
      </c>
      <c r="I20" s="20">
        <f>'伤害统计(理想)'!I20</f>
        <v>0.05</v>
      </c>
      <c r="J20" s="20">
        <f>'伤害统计(理想)'!J20</f>
        <v>0.472</v>
      </c>
      <c r="K20" s="20">
        <f>'伤害统计(理想)'!K20</f>
        <v>0.1181</v>
      </c>
      <c r="L20" s="20">
        <f>'伤害统计(理想)'!L20</f>
        <v>0.177214436704937</v>
      </c>
      <c r="M20" s="20">
        <f>'伤害统计(理想)'!M20</f>
        <v>0.3473</v>
      </c>
      <c r="N20" s="20">
        <f>'伤害统计(理想)'!N20</f>
        <v>0.2</v>
      </c>
      <c r="O20" s="20">
        <f>'伤害统计(理想)'!O20</f>
        <v>0.4994</v>
      </c>
      <c r="P20" s="20">
        <f>'伤害统计(理想)'!P20</f>
        <v>0</v>
      </c>
      <c r="Q20" s="20">
        <f>'伤害统计(理想)'!Q20</f>
        <v>0.4994</v>
      </c>
      <c r="R20" s="20">
        <f>'伤害统计(理想)'!R20</f>
        <v>0.2441</v>
      </c>
      <c r="S20" s="20">
        <f>'伤害统计(理想)'!S20</f>
        <v>0.7435</v>
      </c>
      <c r="T20" s="20">
        <f>'伤害统计(理想)'!T20</f>
        <v>2.0895</v>
      </c>
      <c r="U20" s="20">
        <f>'伤害统计(理想)'!U20</f>
        <v>0</v>
      </c>
      <c r="V20" s="20">
        <f>'伤害统计(理想)'!V20</f>
        <v>2.0895</v>
      </c>
      <c r="W20" s="20">
        <f>'伤害统计(理想)'!W20</f>
        <v>0.2441</v>
      </c>
      <c r="X20" s="20">
        <f>'伤害统计(理想)'!X20</f>
        <v>2.3336</v>
      </c>
      <c r="Y20" s="20">
        <f>'伤害统计(理想)'!Y20</f>
        <v>0.2441</v>
      </c>
      <c r="Z20" s="20">
        <f>'伤害统计(理想)'!Z20</f>
        <v>2.3336</v>
      </c>
      <c r="AA20" s="20">
        <f>'伤害统计(理想)'!AA20</f>
        <v>0.1953</v>
      </c>
      <c r="AB20" s="20">
        <f>'伤害统计(理想)'!AB20</f>
        <v>2.5289</v>
      </c>
      <c r="AC20" s="20">
        <f t="shared" si="0"/>
        <v>118277</v>
      </c>
      <c r="AD20" s="20">
        <f t="shared" si="1"/>
        <v>118278</v>
      </c>
      <c r="AE20" s="20">
        <f t="shared" si="2"/>
        <v>127768</v>
      </c>
      <c r="AF20" s="20">
        <f t="shared" si="3"/>
        <v>247139</v>
      </c>
      <c r="AG20" s="20">
        <f t="shared" si="4"/>
        <v>276013</v>
      </c>
      <c r="AH20" s="20">
        <f t="shared" si="12"/>
        <v>323713</v>
      </c>
      <c r="AI20" s="20">
        <f t="shared" si="5"/>
        <v>118278</v>
      </c>
      <c r="AJ20" s="20">
        <f t="shared" si="6"/>
        <v>276013</v>
      </c>
      <c r="AK20" s="20">
        <f t="shared" si="7"/>
        <v>127768</v>
      </c>
      <c r="AL20" s="20">
        <f t="shared" si="8"/>
        <v>298159</v>
      </c>
      <c r="AM20" s="20">
        <f t="shared" si="9"/>
        <v>299113</v>
      </c>
      <c r="AN20" s="20">
        <f t="shared" si="10"/>
        <v>323112</v>
      </c>
    </row>
    <row r="21" spans="1:40">
      <c r="A21" s="20" t="str">
        <f>'伤害统计(理想)'!A21</f>
        <v>破(万世二段</v>
      </c>
      <c r="B21" s="20">
        <f>'伤害统计(理想)'!B21</f>
        <v>0</v>
      </c>
      <c r="C21" s="20">
        <f>'伤害统计(理想)'!C21</f>
        <v>0</v>
      </c>
      <c r="D21" s="20">
        <f>'伤害统计(理想)'!D21</f>
        <v>21804</v>
      </c>
      <c r="E21" s="20">
        <f>'伤害统计(理想)'!E21</f>
        <v>7.9152</v>
      </c>
      <c r="F21" s="20">
        <f>'伤害统计(理想)'!F21</f>
        <v>1</v>
      </c>
      <c r="G21" s="20">
        <f>'伤害统计(理想)'!G21</f>
        <v>0</v>
      </c>
      <c r="H21" s="20">
        <f>'伤害统计(理想)'!H21</f>
        <v>0</v>
      </c>
      <c r="I21" s="20">
        <f>'伤害统计(理想)'!I21</f>
        <v>0.05</v>
      </c>
      <c r="J21" s="20">
        <f>'伤害统计(理想)'!J21</f>
        <v>0.472</v>
      </c>
      <c r="K21" s="20">
        <f>'伤害统计(理想)'!K21</f>
        <v>0.1181</v>
      </c>
      <c r="L21" s="20">
        <f>'伤害统计(理想)'!L21</f>
        <v>0.177214436704937</v>
      </c>
      <c r="M21" s="20">
        <f>'伤害统计(理想)'!M21</f>
        <v>0.3473</v>
      </c>
      <c r="N21" s="20">
        <f>'伤害统计(理想)'!N21</f>
        <v>0.2</v>
      </c>
      <c r="O21" s="20">
        <f>'伤害统计(理想)'!O21</f>
        <v>0.4994</v>
      </c>
      <c r="P21" s="20">
        <f>'伤害统计(理想)'!P21</f>
        <v>0</v>
      </c>
      <c r="Q21" s="20">
        <f>'伤害统计(理想)'!Q21</f>
        <v>0.4994</v>
      </c>
      <c r="R21" s="20">
        <f>'伤害统计(理想)'!R21</f>
        <v>0.2441</v>
      </c>
      <c r="S21" s="20">
        <f>'伤害统计(理想)'!S21</f>
        <v>0.7435</v>
      </c>
      <c r="T21" s="20">
        <f>'伤害统计(理想)'!T21</f>
        <v>2.0895</v>
      </c>
      <c r="U21" s="20">
        <f>'伤害统计(理想)'!U21</f>
        <v>0</v>
      </c>
      <c r="V21" s="20">
        <f>'伤害统计(理想)'!V21</f>
        <v>2.0895</v>
      </c>
      <c r="W21" s="20">
        <f>'伤害统计(理想)'!W21</f>
        <v>0.2441</v>
      </c>
      <c r="X21" s="20">
        <f>'伤害统计(理想)'!X21</f>
        <v>2.3336</v>
      </c>
      <c r="Y21" s="20">
        <f>'伤害统计(理想)'!Y21</f>
        <v>0.2441</v>
      </c>
      <c r="Z21" s="20">
        <f>'伤害统计(理想)'!Z21</f>
        <v>2.3336</v>
      </c>
      <c r="AA21" s="20">
        <f>'伤害统计(理想)'!AA21</f>
        <v>0.1953</v>
      </c>
      <c r="AB21" s="20">
        <f>'伤害统计(理想)'!AB21</f>
        <v>2.5289</v>
      </c>
      <c r="AC21" s="20">
        <f t="shared" si="0"/>
        <v>236557</v>
      </c>
      <c r="AD21" s="20">
        <f t="shared" si="1"/>
        <v>236557</v>
      </c>
      <c r="AE21" s="20">
        <f t="shared" si="2"/>
        <v>255536</v>
      </c>
      <c r="AF21" s="20">
        <f t="shared" si="3"/>
        <v>494285</v>
      </c>
      <c r="AG21" s="20">
        <f t="shared" si="4"/>
        <v>552029</v>
      </c>
      <c r="AH21" s="20">
        <f t="shared" si="12"/>
        <v>647426</v>
      </c>
      <c r="AI21" s="20">
        <f t="shared" si="5"/>
        <v>236557</v>
      </c>
      <c r="AJ21" s="20">
        <f t="shared" si="6"/>
        <v>552029</v>
      </c>
      <c r="AK21" s="20">
        <f t="shared" si="7"/>
        <v>255536</v>
      </c>
      <c r="AL21" s="20">
        <f t="shared" si="8"/>
        <v>596318</v>
      </c>
      <c r="AM21" s="20">
        <f t="shared" si="9"/>
        <v>598228</v>
      </c>
      <c r="AN21" s="20">
        <f t="shared" si="10"/>
        <v>646224</v>
      </c>
    </row>
    <row r="22" spans="1:40">
      <c r="A22" s="20" t="str">
        <f>'伤害统计(理想)'!A22</f>
        <v>三才化生</v>
      </c>
      <c r="B22" s="20">
        <f>'伤害统计(理想)'!B22</f>
        <v>81</v>
      </c>
      <c r="C22" s="8">
        <f>C2</f>
        <v>34500</v>
      </c>
      <c r="D22" s="20">
        <f>D2</f>
        <v>45892</v>
      </c>
      <c r="E22" s="20">
        <f>'伤害统计(理想)'!E22</f>
        <v>0.08</v>
      </c>
      <c r="F22" s="20">
        <f>'伤害统计(理想)'!F22</f>
        <v>1</v>
      </c>
      <c r="G22" s="20">
        <f>'伤害统计(理想)'!G22</f>
        <v>0</v>
      </c>
      <c r="H22" s="20">
        <f>'伤害统计(理想)'!H22</f>
        <v>0</v>
      </c>
      <c r="I22" s="20">
        <f>'伤害统计(理想)'!I22</f>
        <v>0.05</v>
      </c>
      <c r="J22" s="20">
        <f>'伤害统计(理想)'!J22</f>
        <v>0.472</v>
      </c>
      <c r="K22" s="20">
        <f>'伤害统计(理想)'!K22</f>
        <v>0.1181</v>
      </c>
      <c r="L22" s="20">
        <f>'伤害统计(理想)'!L22</f>
        <v>0.177214436704937</v>
      </c>
      <c r="M22" s="20">
        <f>'伤害统计(理想)'!M22</f>
        <v>0.3473</v>
      </c>
      <c r="N22" s="20">
        <f>'伤害统计(理想)'!N22</f>
        <v>0.2</v>
      </c>
      <c r="O22" s="20">
        <f>'伤害统计(理想)'!O22</f>
        <v>0.4994</v>
      </c>
      <c r="P22" s="20">
        <f>'伤害统计(理想)'!P22</f>
        <v>0</v>
      </c>
      <c r="Q22" s="20">
        <f>'伤害统计(理想)'!Q22</f>
        <v>0.4994</v>
      </c>
      <c r="R22" s="20">
        <f>'伤害统计(理想)'!R22</f>
        <v>0.2441</v>
      </c>
      <c r="S22" s="20">
        <f>'伤害统计(理想)'!S22</f>
        <v>0.7435</v>
      </c>
      <c r="T22" s="20">
        <f>'伤害统计(理想)'!T22</f>
        <v>2.0895</v>
      </c>
      <c r="U22" s="20">
        <f>'伤害统计(理想)'!U22</f>
        <v>0</v>
      </c>
      <c r="V22" s="20">
        <f>'伤害统计(理想)'!V22</f>
        <v>2.0895</v>
      </c>
      <c r="W22" s="20">
        <f>'伤害统计(理想)'!W22</f>
        <v>0.2441</v>
      </c>
      <c r="X22" s="20">
        <f>'伤害统计(理想)'!X22</f>
        <v>2.3336</v>
      </c>
      <c r="Y22" s="20">
        <f>'伤害统计(理想)'!Y22</f>
        <v>0.2441</v>
      </c>
      <c r="Z22" s="20">
        <f>'伤害统计(理想)'!Z22</f>
        <v>2.3336</v>
      </c>
      <c r="AA22" s="20">
        <f>'伤害统计(理想)'!AA22</f>
        <v>0.1953</v>
      </c>
      <c r="AB22" s="20">
        <f>'伤害统计(理想)'!AB22</f>
        <v>2.5289</v>
      </c>
      <c r="AC22" s="20">
        <f t="shared" si="0"/>
        <v>5142</v>
      </c>
      <c r="AD22" s="20">
        <f t="shared" si="1"/>
        <v>7034</v>
      </c>
      <c r="AE22" s="20">
        <f t="shared" si="2"/>
        <v>7599</v>
      </c>
      <c r="AF22" s="20">
        <f t="shared" si="3"/>
        <v>10744</v>
      </c>
      <c r="AG22" s="20">
        <f t="shared" si="4"/>
        <v>16414</v>
      </c>
      <c r="AH22" s="20">
        <f t="shared" si="12"/>
        <v>19252</v>
      </c>
      <c r="AI22" s="20">
        <f t="shared" si="5"/>
        <v>6089</v>
      </c>
      <c r="AJ22" s="20">
        <f t="shared" si="6"/>
        <v>14209</v>
      </c>
      <c r="AK22" s="20">
        <f t="shared" si="7"/>
        <v>6577</v>
      </c>
      <c r="AL22" s="20">
        <f t="shared" si="8"/>
        <v>15348</v>
      </c>
      <c r="AM22" s="20">
        <f t="shared" si="9"/>
        <v>17788</v>
      </c>
      <c r="AN22" s="20">
        <f t="shared" si="10"/>
        <v>19217</v>
      </c>
    </row>
    <row r="23" spans="1:40">
      <c r="A23" s="20" t="str">
        <f>'伤害统计(理想)'!A23</f>
        <v>厚亡</v>
      </c>
      <c r="B23" s="20">
        <f>'伤害统计(理想)'!B23</f>
        <v>35</v>
      </c>
      <c r="C23" s="8">
        <f>C2</f>
        <v>34500</v>
      </c>
      <c r="D23" s="20">
        <f>D2</f>
        <v>45892</v>
      </c>
      <c r="E23" s="20">
        <f>'伤害统计(理想)'!E23</f>
        <v>1.625</v>
      </c>
      <c r="F23" s="20">
        <f>'伤害统计(理想)'!F23</f>
        <v>1</v>
      </c>
      <c r="G23" s="20">
        <f>'伤害统计(理想)'!G23</f>
        <v>0</v>
      </c>
      <c r="H23" s="20">
        <f>'伤害统计(理想)'!H23</f>
        <v>0</v>
      </c>
      <c r="I23" s="20">
        <f>'伤害统计(理想)'!I23</f>
        <v>0.05</v>
      </c>
      <c r="J23" s="20">
        <f>'伤害统计(理想)'!J23</f>
        <v>0.472</v>
      </c>
      <c r="K23" s="20">
        <f>'伤害统计(理想)'!K23</f>
        <v>0.1181</v>
      </c>
      <c r="L23" s="20">
        <f>'伤害统计(理想)'!L23</f>
        <v>0.177214436704937</v>
      </c>
      <c r="M23" s="20">
        <f>'伤害统计(理想)'!M23</f>
        <v>0.3473</v>
      </c>
      <c r="N23" s="20">
        <f>'伤害统计(理想)'!N23</f>
        <v>0.2</v>
      </c>
      <c r="O23" s="20">
        <f>'伤害统计(理想)'!O23</f>
        <v>0.4994</v>
      </c>
      <c r="P23" s="20">
        <f>'伤害统计(理想)'!P23</f>
        <v>0</v>
      </c>
      <c r="Q23" s="20">
        <f>'伤害统计(理想)'!Q23</f>
        <v>0.4994</v>
      </c>
      <c r="R23" s="20">
        <f>'伤害统计(理想)'!R23</f>
        <v>0.2441</v>
      </c>
      <c r="S23" s="20">
        <f>'伤害统计(理想)'!S23</f>
        <v>0.7435</v>
      </c>
      <c r="T23" s="20">
        <f>'伤害统计(理想)'!T23</f>
        <v>2.0895</v>
      </c>
      <c r="U23" s="20">
        <f>'伤害统计(理想)'!U23</f>
        <v>0</v>
      </c>
      <c r="V23" s="20">
        <f>'伤害统计(理想)'!V23</f>
        <v>2.0895</v>
      </c>
      <c r="W23" s="20">
        <f>'伤害统计(理想)'!W23</f>
        <v>0.2441</v>
      </c>
      <c r="X23" s="20">
        <f>'伤害统计(理想)'!X23</f>
        <v>2.3336</v>
      </c>
      <c r="Y23" s="20">
        <f>'伤害统计(理想)'!Y23</f>
        <v>0.2441</v>
      </c>
      <c r="Z23" s="20">
        <f>'伤害统计(理想)'!Z23</f>
        <v>2.3336</v>
      </c>
      <c r="AA23" s="20">
        <f>'伤害统计(理想)'!AA23</f>
        <v>0.1953</v>
      </c>
      <c r="AB23" s="20">
        <f>'伤害统计(理想)'!AB23</f>
        <v>2.5289</v>
      </c>
      <c r="AC23" s="20">
        <f t="shared" si="0"/>
        <v>102265</v>
      </c>
      <c r="AD23" s="20">
        <f t="shared" si="1"/>
        <v>140688</v>
      </c>
      <c r="AE23" s="20">
        <f t="shared" si="2"/>
        <v>151975</v>
      </c>
      <c r="AF23" s="20">
        <f t="shared" si="3"/>
        <v>213682</v>
      </c>
      <c r="AG23" s="20">
        <f t="shared" si="4"/>
        <v>328309</v>
      </c>
      <c r="AH23" s="20">
        <f t="shared" si="12"/>
        <v>385043</v>
      </c>
      <c r="AI23" s="20">
        <f t="shared" si="5"/>
        <v>121477</v>
      </c>
      <c r="AJ23" s="20">
        <f t="shared" si="6"/>
        <v>283478</v>
      </c>
      <c r="AK23" s="20">
        <f t="shared" si="7"/>
        <v>131223</v>
      </c>
      <c r="AL23" s="20">
        <f t="shared" si="8"/>
        <v>306221</v>
      </c>
      <c r="AM23" s="20">
        <f t="shared" si="9"/>
        <v>355785</v>
      </c>
      <c r="AN23" s="20">
        <f t="shared" si="10"/>
        <v>384329</v>
      </c>
    </row>
    <row r="24" spans="1:40">
      <c r="A24" s="20" t="str">
        <f>'伤害统计(理想)'!A24</f>
        <v>刃凌</v>
      </c>
      <c r="B24" s="20">
        <f>'伤害统计(理想)'!B24</f>
        <v>48</v>
      </c>
      <c r="C24" s="8">
        <f>C2</f>
        <v>34500</v>
      </c>
      <c r="D24" s="20">
        <f>D2</f>
        <v>45892</v>
      </c>
      <c r="E24" s="20">
        <f>'伤害统计(理想)'!E24</f>
        <v>0.260417</v>
      </c>
      <c r="F24" s="20">
        <f>'伤害统计(理想)'!F24</f>
        <v>1</v>
      </c>
      <c r="G24" s="20">
        <f>'伤害统计(理想)'!G24</f>
        <v>0</v>
      </c>
      <c r="H24" s="20">
        <f>'伤害统计(理想)'!H24</f>
        <v>0</v>
      </c>
      <c r="I24" s="20">
        <f>'伤害统计(理想)'!I24</f>
        <v>0.05</v>
      </c>
      <c r="J24" s="20">
        <f>'伤害统计(理想)'!J24</f>
        <v>0.472</v>
      </c>
      <c r="K24" s="20">
        <f>'伤害统计(理想)'!K24</f>
        <v>0.1181</v>
      </c>
      <c r="L24" s="20">
        <f>'伤害统计(理想)'!L24</f>
        <v>0.177214436704937</v>
      </c>
      <c r="M24" s="20">
        <f>'伤害统计(理想)'!M24</f>
        <v>0.3473</v>
      </c>
      <c r="N24" s="20">
        <f>'伤害统计(理想)'!N24</f>
        <v>0.2</v>
      </c>
      <c r="O24" s="20">
        <f>'伤害统计(理想)'!O24</f>
        <v>0.4994</v>
      </c>
      <c r="P24" s="20">
        <f>'伤害统计(理想)'!P24</f>
        <v>0</v>
      </c>
      <c r="Q24" s="20">
        <f>'伤害统计(理想)'!Q24</f>
        <v>0.4994</v>
      </c>
      <c r="R24" s="20">
        <f>'伤害统计(理想)'!R24</f>
        <v>0.2441</v>
      </c>
      <c r="S24" s="20">
        <f>'伤害统计(理想)'!S24</f>
        <v>0.7435</v>
      </c>
      <c r="T24" s="20">
        <f>'伤害统计(理想)'!T24</f>
        <v>2.0895</v>
      </c>
      <c r="U24" s="20">
        <f>'伤害统计(理想)'!U24</f>
        <v>0</v>
      </c>
      <c r="V24" s="20">
        <f>'伤害统计(理想)'!V24</f>
        <v>2.0895</v>
      </c>
      <c r="W24" s="20">
        <f>'伤害统计(理想)'!W24</f>
        <v>0.2441</v>
      </c>
      <c r="X24" s="20">
        <f>'伤害统计(理想)'!X24</f>
        <v>2.3336</v>
      </c>
      <c r="Y24" s="20">
        <f>'伤害统计(理想)'!Y24</f>
        <v>0.2441</v>
      </c>
      <c r="Z24" s="20">
        <f>'伤害统计(理想)'!Z24</f>
        <v>2.3336</v>
      </c>
      <c r="AA24" s="20">
        <f>'伤害统计(理想)'!AA24</f>
        <v>0.1953</v>
      </c>
      <c r="AB24" s="20">
        <f>'伤害统计(理想)'!AB24</f>
        <v>2.5289</v>
      </c>
      <c r="AC24" s="20">
        <f t="shared" si="0"/>
        <v>16446</v>
      </c>
      <c r="AD24" s="20">
        <f t="shared" si="1"/>
        <v>22604</v>
      </c>
      <c r="AE24" s="20">
        <f t="shared" si="2"/>
        <v>24417</v>
      </c>
      <c r="AF24" s="20">
        <f t="shared" si="3"/>
        <v>34363</v>
      </c>
      <c r="AG24" s="20">
        <f t="shared" si="4"/>
        <v>52748</v>
      </c>
      <c r="AH24" s="20">
        <f t="shared" si="12"/>
        <v>61862</v>
      </c>
      <c r="AI24" s="20">
        <f t="shared" si="5"/>
        <v>19525</v>
      </c>
      <c r="AJ24" s="20">
        <f t="shared" si="6"/>
        <v>45563</v>
      </c>
      <c r="AK24" s="20">
        <f t="shared" si="7"/>
        <v>21092</v>
      </c>
      <c r="AL24" s="20">
        <f t="shared" si="8"/>
        <v>49220</v>
      </c>
      <c r="AM24" s="20">
        <f t="shared" si="9"/>
        <v>57163</v>
      </c>
      <c r="AN24" s="20">
        <f t="shared" si="10"/>
        <v>61748</v>
      </c>
    </row>
    <row r="25" spans="1:40">
      <c r="A25" s="20" t="str">
        <f>'伤害统计(理想)'!A25</f>
        <v>昆吾·弦刃</v>
      </c>
      <c r="B25" s="20">
        <f>'伤害统计(理想)'!B25</f>
        <v>48</v>
      </c>
      <c r="C25" s="8">
        <f>C2</f>
        <v>34500</v>
      </c>
      <c r="D25" s="20">
        <f>D2</f>
        <v>45892</v>
      </c>
      <c r="E25" s="20">
        <f>'伤害统计(理想)'!E25</f>
        <v>0.46875</v>
      </c>
      <c r="F25" s="20">
        <f>'伤害统计(理想)'!F25</f>
        <v>1</v>
      </c>
      <c r="G25" s="20">
        <f>'伤害统计(理想)'!G25</f>
        <v>0</v>
      </c>
      <c r="H25" s="20">
        <f>'伤害统计(理想)'!H25</f>
        <v>0</v>
      </c>
      <c r="I25" s="20">
        <f>'伤害统计(理想)'!I25</f>
        <v>0.05</v>
      </c>
      <c r="J25" s="20">
        <f>'伤害统计(理想)'!J25</f>
        <v>0.472</v>
      </c>
      <c r="K25" s="20">
        <f>'伤害统计(理想)'!K25</f>
        <v>0.1181</v>
      </c>
      <c r="L25" s="20">
        <f>'伤害统计(理想)'!L25</f>
        <v>0.177214436704937</v>
      </c>
      <c r="M25" s="20">
        <f>'伤害统计(理想)'!M25</f>
        <v>0.3473</v>
      </c>
      <c r="N25" s="20">
        <f>'伤害统计(理想)'!N25</f>
        <v>0.2</v>
      </c>
      <c r="O25" s="20">
        <f>'伤害统计(理想)'!O25</f>
        <v>0.4994</v>
      </c>
      <c r="P25" s="20">
        <f>'伤害统计(理想)'!P25</f>
        <v>0</v>
      </c>
      <c r="Q25" s="20">
        <f>'伤害统计(理想)'!Q25</f>
        <v>0.4994</v>
      </c>
      <c r="R25" s="20">
        <f>'伤害统计(理想)'!R25</f>
        <v>0.2441</v>
      </c>
      <c r="S25" s="20">
        <f>'伤害统计(理想)'!S25</f>
        <v>0.7435</v>
      </c>
      <c r="T25" s="20">
        <f>'伤害统计(理想)'!T25</f>
        <v>2.0895</v>
      </c>
      <c r="U25" s="20">
        <f>'伤害统计(理想)'!U25</f>
        <v>0</v>
      </c>
      <c r="V25" s="20">
        <f>'伤害统计(理想)'!V25</f>
        <v>2.0895</v>
      </c>
      <c r="W25" s="20">
        <f>'伤害统计(理想)'!W25</f>
        <v>0.2441</v>
      </c>
      <c r="X25" s="20">
        <f>'伤害统计(理想)'!X25</f>
        <v>2.3336</v>
      </c>
      <c r="Y25" s="20">
        <f>'伤害统计(理想)'!Y25</f>
        <v>0.2441</v>
      </c>
      <c r="Z25" s="20">
        <f>'伤害统计(理想)'!Z25</f>
        <v>2.3336</v>
      </c>
      <c r="AA25" s="20">
        <f>'伤害统计(理想)'!AA25</f>
        <v>0.1953</v>
      </c>
      <c r="AB25" s="20">
        <f>'伤害统计(理想)'!AB25</f>
        <v>2.5289</v>
      </c>
      <c r="AC25" s="20">
        <f t="shared" si="0"/>
        <v>29550</v>
      </c>
      <c r="AD25" s="20">
        <f t="shared" si="1"/>
        <v>40635</v>
      </c>
      <c r="AE25" s="20">
        <f t="shared" si="2"/>
        <v>43895</v>
      </c>
      <c r="AF25" s="20">
        <f t="shared" si="3"/>
        <v>61744</v>
      </c>
      <c r="AG25" s="20">
        <f t="shared" si="4"/>
        <v>94825</v>
      </c>
      <c r="AH25" s="20">
        <f t="shared" si="12"/>
        <v>111212</v>
      </c>
      <c r="AI25" s="20">
        <f t="shared" si="5"/>
        <v>35093</v>
      </c>
      <c r="AJ25" s="20">
        <f t="shared" si="6"/>
        <v>81893</v>
      </c>
      <c r="AK25" s="20">
        <f t="shared" si="7"/>
        <v>37909</v>
      </c>
      <c r="AL25" s="20">
        <f t="shared" si="8"/>
        <v>88464</v>
      </c>
      <c r="AM25" s="20">
        <f t="shared" si="9"/>
        <v>102761</v>
      </c>
      <c r="AN25" s="20">
        <f t="shared" si="10"/>
        <v>111006</v>
      </c>
    </row>
    <row r="26" spans="1:40">
      <c r="A26" s="20" t="str">
        <f>'伤害统计(理想)'!A26</f>
        <v>腾空·三才</v>
      </c>
      <c r="B26" s="20">
        <f>'伤害统计(理想)'!B26</f>
        <v>550865</v>
      </c>
      <c r="C26" s="8">
        <f>C2</f>
        <v>34500</v>
      </c>
      <c r="D26" s="20">
        <f>'伤害统计(理想)'!D26</f>
        <v>0</v>
      </c>
      <c r="E26" s="20">
        <f>'伤害统计(理想)'!E26</f>
        <v>1</v>
      </c>
      <c r="F26" s="20">
        <f>'伤害统计(理想)'!F26</f>
        <v>1</v>
      </c>
      <c r="G26" s="20">
        <f>'伤害统计(理想)'!G26</f>
        <v>0</v>
      </c>
      <c r="H26" s="20">
        <f>'伤害统计(理想)'!H26</f>
        <v>0</v>
      </c>
      <c r="I26" s="20">
        <f>'伤害统计(理想)'!I26</f>
        <v>0.05</v>
      </c>
      <c r="J26" s="20">
        <f>'伤害统计(理想)'!J26</f>
        <v>0.472</v>
      </c>
      <c r="K26" s="20">
        <f>'伤害统计(理想)'!K26</f>
        <v>0.1181</v>
      </c>
      <c r="L26" s="20">
        <f>'伤害统计(理想)'!L26</f>
        <v>0.177214436704937</v>
      </c>
      <c r="M26" s="20">
        <f>'伤害统计(理想)'!M26</f>
        <v>0.3473</v>
      </c>
      <c r="N26" s="20">
        <f>'伤害统计(理想)'!N26</f>
        <v>0.2</v>
      </c>
      <c r="O26" s="20">
        <f>'伤害统计(理想)'!O26</f>
        <v>0.4994</v>
      </c>
      <c r="P26" s="20">
        <f>'伤害统计(理想)'!P26</f>
        <v>0</v>
      </c>
      <c r="Q26" s="20">
        <f>'伤害统计(理想)'!Q26</f>
        <v>0.4994</v>
      </c>
      <c r="R26" s="20">
        <f>'伤害统计(理想)'!R26</f>
        <v>0.2441</v>
      </c>
      <c r="S26" s="20">
        <f>'伤害统计(理想)'!S26</f>
        <v>0.7435</v>
      </c>
      <c r="T26" s="20">
        <f>'伤害统计(理想)'!T26</f>
        <v>2.0895</v>
      </c>
      <c r="U26" s="20">
        <f>'伤害统计(理想)'!U26</f>
        <v>0</v>
      </c>
      <c r="V26" s="20">
        <f>'伤害统计(理想)'!V26</f>
        <v>2.0895</v>
      </c>
      <c r="W26" s="20">
        <f>'伤害统计(理想)'!W26</f>
        <v>0.2441</v>
      </c>
      <c r="X26" s="20">
        <f>'伤害统计(理想)'!X26</f>
        <v>2.3336</v>
      </c>
      <c r="Y26" s="20">
        <f>'伤害统计(理想)'!Y26</f>
        <v>0.2441</v>
      </c>
      <c r="Z26" s="20">
        <f>'伤害统计(理想)'!Z26</f>
        <v>2.3336</v>
      </c>
      <c r="AA26" s="20">
        <f>'伤害统计(理想)'!AA26</f>
        <v>0.1953</v>
      </c>
      <c r="AB26" s="20">
        <f>'伤害统计(理想)'!AB26</f>
        <v>2.5289</v>
      </c>
      <c r="AC26" s="20">
        <f t="shared" si="0"/>
        <v>755063</v>
      </c>
      <c r="AD26" s="20">
        <f t="shared" si="1"/>
        <v>778707</v>
      </c>
      <c r="AE26" s="20">
        <f t="shared" si="2"/>
        <v>841183</v>
      </c>
      <c r="AF26" s="20">
        <f t="shared" si="3"/>
        <v>1577704</v>
      </c>
      <c r="AG26" s="20">
        <f t="shared" si="4"/>
        <v>1817190</v>
      </c>
      <c r="AH26" s="20">
        <f t="shared" si="12"/>
        <v>2131221</v>
      </c>
      <c r="AI26" s="20">
        <f t="shared" si="5"/>
        <v>766885</v>
      </c>
      <c r="AJ26" s="20">
        <f t="shared" si="6"/>
        <v>1789602</v>
      </c>
      <c r="AK26" s="20">
        <f t="shared" si="7"/>
        <v>828413</v>
      </c>
      <c r="AL26" s="20">
        <f t="shared" si="8"/>
        <v>1933184</v>
      </c>
      <c r="AM26" s="20">
        <f t="shared" si="9"/>
        <v>1969272</v>
      </c>
      <c r="AN26" s="20">
        <f t="shared" si="10"/>
        <v>2127267</v>
      </c>
    </row>
    <row r="27" spans="1:40">
      <c r="A27" s="20" t="str">
        <f>'伤害统计(理想)'!A27</f>
        <v>腾空·凭虚</v>
      </c>
      <c r="B27" s="20">
        <f>'伤害统计(理想)'!B27</f>
        <v>568199</v>
      </c>
      <c r="C27" s="8">
        <f>C2</f>
        <v>34500</v>
      </c>
      <c r="D27" s="20">
        <f>'伤害统计(理想)'!D27</f>
        <v>0</v>
      </c>
      <c r="E27" s="20">
        <f>'伤害统计(理想)'!E27</f>
        <v>1</v>
      </c>
      <c r="F27" s="20">
        <f>'伤害统计(理想)'!F27</f>
        <v>1</v>
      </c>
      <c r="G27" s="20">
        <f>'伤害统计(理想)'!G27</f>
        <v>0</v>
      </c>
      <c r="H27" s="20">
        <f>'伤害统计(理想)'!H27</f>
        <v>0</v>
      </c>
      <c r="I27" s="20">
        <f>'伤害统计(理想)'!I27</f>
        <v>0.05</v>
      </c>
      <c r="J27" s="20">
        <f>'伤害统计(理想)'!J27</f>
        <v>0.472</v>
      </c>
      <c r="K27" s="20">
        <f>'伤害统计(理想)'!K27</f>
        <v>0.1181</v>
      </c>
      <c r="L27" s="20">
        <f>'伤害统计(理想)'!L27</f>
        <v>0.177214436704937</v>
      </c>
      <c r="M27" s="20">
        <f>'伤害统计(理想)'!M27</f>
        <v>0.3473</v>
      </c>
      <c r="N27" s="20">
        <f>'伤害统计(理想)'!N27</f>
        <v>0.2</v>
      </c>
      <c r="O27" s="20">
        <f>'伤害统计(理想)'!O27</f>
        <v>1</v>
      </c>
      <c r="P27" s="20">
        <f>'伤害统计(理想)'!P27</f>
        <v>0</v>
      </c>
      <c r="Q27" s="20">
        <f>'伤害统计(理想)'!Q27</f>
        <v>1</v>
      </c>
      <c r="R27" s="20">
        <f>'伤害统计(理想)'!R27</f>
        <v>0.2441</v>
      </c>
      <c r="S27" s="20">
        <f>'伤害统计(理想)'!S27</f>
        <v>1</v>
      </c>
      <c r="T27" s="20">
        <f>'伤害统计(理想)'!T27</f>
        <v>2.0895</v>
      </c>
      <c r="U27" s="20">
        <f>'伤害统计(理想)'!U27</f>
        <v>0</v>
      </c>
      <c r="V27" s="20">
        <f>'伤害统计(理想)'!V27</f>
        <v>2.0895</v>
      </c>
      <c r="W27" s="20">
        <f>'伤害统计(理想)'!W27</f>
        <v>0.2441</v>
      </c>
      <c r="X27" s="20">
        <f>'伤害统计(理想)'!X27</f>
        <v>2.3336</v>
      </c>
      <c r="Y27" s="20">
        <f>'伤害统计(理想)'!Y27</f>
        <v>0.2441</v>
      </c>
      <c r="Z27" s="20">
        <f>'伤害统计(理想)'!Z27</f>
        <v>2.3336</v>
      </c>
      <c r="AA27" s="20">
        <f>'伤害统计(理想)'!AA27</f>
        <v>0.1953</v>
      </c>
      <c r="AB27" s="20">
        <f>'伤害统计(理想)'!AB27</f>
        <v>2.5289</v>
      </c>
      <c r="AC27" s="20">
        <f t="shared" si="0"/>
        <v>778822</v>
      </c>
      <c r="AD27" s="20">
        <f t="shared" si="1"/>
        <v>802466</v>
      </c>
      <c r="AE27" s="20">
        <f t="shared" si="2"/>
        <v>866849</v>
      </c>
      <c r="AF27" s="20">
        <f t="shared" si="3"/>
        <v>1627348</v>
      </c>
      <c r="AG27" s="20">
        <f t="shared" si="4"/>
        <v>1872634</v>
      </c>
      <c r="AH27" s="20">
        <f t="shared" si="12"/>
        <v>2196248</v>
      </c>
      <c r="AI27" s="20">
        <f t="shared" si="5"/>
        <v>790644</v>
      </c>
      <c r="AJ27" s="20">
        <f t="shared" si="6"/>
        <v>1845046</v>
      </c>
      <c r="AK27" s="20">
        <f t="shared" si="7"/>
        <v>854078</v>
      </c>
      <c r="AL27" s="20">
        <f t="shared" si="8"/>
        <v>1993076</v>
      </c>
      <c r="AM27" s="20">
        <f t="shared" si="9"/>
        <v>2029356</v>
      </c>
      <c r="AN27" s="20">
        <f t="shared" si="10"/>
        <v>2192174</v>
      </c>
    </row>
    <row r="28" spans="1:40">
      <c r="A28" s="20" t="str">
        <f>'伤害统计(理想)'!A28</f>
        <v>腾空·凭虚·定</v>
      </c>
      <c r="B28" s="20">
        <f>'伤害统计(理想)'!B28</f>
        <v>141299</v>
      </c>
      <c r="C28" s="8">
        <f>C2</f>
        <v>34500</v>
      </c>
      <c r="D28" s="20">
        <f>'伤害统计(理想)'!D28</f>
        <v>0</v>
      </c>
      <c r="E28" s="20">
        <f>'伤害统计(理想)'!E28</f>
        <v>1</v>
      </c>
      <c r="F28" s="20">
        <f>'伤害统计(理想)'!F28</f>
        <v>1</v>
      </c>
      <c r="G28" s="20">
        <f>'伤害统计(理想)'!G28</f>
        <v>0</v>
      </c>
      <c r="H28" s="20">
        <f>'伤害统计(理想)'!H28</f>
        <v>0</v>
      </c>
      <c r="I28" s="20">
        <f>'伤害统计(理想)'!I28</f>
        <v>0.05</v>
      </c>
      <c r="J28" s="20">
        <f>'伤害统计(理想)'!J28</f>
        <v>0.472</v>
      </c>
      <c r="K28" s="20">
        <f>'伤害统计(理想)'!K28</f>
        <v>0.1181</v>
      </c>
      <c r="L28" s="20">
        <f>'伤害统计(理想)'!L28</f>
        <v>0.177214436704937</v>
      </c>
      <c r="M28" s="20">
        <f>'伤害统计(理想)'!M28</f>
        <v>0.3473</v>
      </c>
      <c r="N28" s="20">
        <f>'伤害统计(理想)'!N28</f>
        <v>0.2</v>
      </c>
      <c r="O28" s="20">
        <f>'伤害统计(理想)'!O28</f>
        <v>0.4994</v>
      </c>
      <c r="P28" s="20">
        <f>'伤害统计(理想)'!P28</f>
        <v>0</v>
      </c>
      <c r="Q28" s="20">
        <f>'伤害统计(理想)'!Q28</f>
        <v>0.4994</v>
      </c>
      <c r="R28" s="20">
        <f>'伤害统计(理想)'!R28</f>
        <v>0.2441</v>
      </c>
      <c r="S28" s="20">
        <f>'伤害统计(理想)'!S28</f>
        <v>0.7435</v>
      </c>
      <c r="T28" s="20">
        <f>'伤害统计(理想)'!T28</f>
        <v>2.0895</v>
      </c>
      <c r="U28" s="20">
        <f>'伤害统计(理想)'!U28</f>
        <v>0</v>
      </c>
      <c r="V28" s="20">
        <f>'伤害统计(理想)'!V28</f>
        <v>2.0895</v>
      </c>
      <c r="W28" s="20">
        <f>'伤害统计(理想)'!W28</f>
        <v>0.2441</v>
      </c>
      <c r="X28" s="20">
        <f>'伤害统计(理想)'!X28</f>
        <v>2.3336</v>
      </c>
      <c r="Y28" s="20">
        <f>'伤害统计(理想)'!Y28</f>
        <v>0.2441</v>
      </c>
      <c r="Z28" s="20">
        <f>'伤害统计(理想)'!Z28</f>
        <v>2.3336</v>
      </c>
      <c r="AA28" s="20">
        <f>'伤害统计(理想)'!AA28</f>
        <v>0.1953</v>
      </c>
      <c r="AB28" s="20">
        <f>'伤害统计(理想)'!AB28</f>
        <v>2.5289</v>
      </c>
      <c r="AC28" s="20">
        <f t="shared" si="0"/>
        <v>193676</v>
      </c>
      <c r="AD28" s="20">
        <f t="shared" si="1"/>
        <v>217320</v>
      </c>
      <c r="AE28" s="20">
        <f t="shared" si="2"/>
        <v>234756</v>
      </c>
      <c r="AF28" s="20">
        <f t="shared" si="3"/>
        <v>404686</v>
      </c>
      <c r="AG28" s="20">
        <f t="shared" si="4"/>
        <v>507137</v>
      </c>
      <c r="AH28" s="20">
        <f t="shared" si="12"/>
        <v>594777</v>
      </c>
      <c r="AI28" s="20">
        <f t="shared" si="5"/>
        <v>205498</v>
      </c>
      <c r="AJ28" s="20">
        <f t="shared" si="6"/>
        <v>479550</v>
      </c>
      <c r="AK28" s="20">
        <f t="shared" si="7"/>
        <v>221986</v>
      </c>
      <c r="AL28" s="20">
        <f t="shared" si="8"/>
        <v>518026</v>
      </c>
      <c r="AM28" s="20">
        <f t="shared" si="9"/>
        <v>549580</v>
      </c>
      <c r="AN28" s="20">
        <f t="shared" si="10"/>
        <v>593674</v>
      </c>
    </row>
    <row r="29" spans="1:40">
      <c r="A29" s="20" t="str">
        <f>'伤害统计(理想)'!A29</f>
        <v>气竭(DOT)</v>
      </c>
      <c r="B29" s="20">
        <f>'伤害统计(理想)'!B29</f>
        <v>50</v>
      </c>
      <c r="C29" s="8">
        <f>C2</f>
        <v>34500</v>
      </c>
      <c r="D29" s="20">
        <f>D2</f>
        <v>45892</v>
      </c>
      <c r="E29" s="20">
        <f>'伤害统计(理想)'!E29</f>
        <v>0.5078125</v>
      </c>
      <c r="F29" s="20">
        <f>'伤害统计(理想)'!F29</f>
        <v>1</v>
      </c>
      <c r="G29" s="20">
        <f>'伤害统计(理想)'!G29</f>
        <v>0</v>
      </c>
      <c r="H29" s="20">
        <f>'伤害统计(理想)'!H29</f>
        <v>0</v>
      </c>
      <c r="I29" s="20">
        <f>'伤害统计(理想)'!I29</f>
        <v>0.05</v>
      </c>
      <c r="J29" s="20">
        <f>'伤害统计(理想)'!J29</f>
        <v>0.472</v>
      </c>
      <c r="K29" s="20">
        <f>'伤害统计(理想)'!K29</f>
        <v>0.1181</v>
      </c>
      <c r="L29" s="20">
        <f>'伤害统计(理想)'!L29</f>
        <v>0.177214436704937</v>
      </c>
      <c r="M29" s="20">
        <f>'伤害统计(理想)'!M29</f>
        <v>0.3473</v>
      </c>
      <c r="N29" s="20">
        <f>'伤害统计(理想)'!N29</f>
        <v>0.2</v>
      </c>
      <c r="O29" s="20">
        <f>'伤害统计(理想)'!O29</f>
        <v>0.4994</v>
      </c>
      <c r="P29" s="20">
        <f>'伤害统计(理想)'!P29</f>
        <v>0</v>
      </c>
      <c r="Q29" s="20">
        <f>'伤害统计(理想)'!Q29</f>
        <v>0.4994</v>
      </c>
      <c r="R29" s="20">
        <f>'伤害统计(理想)'!R29</f>
        <v>0.2441</v>
      </c>
      <c r="S29" s="20">
        <f>'伤害统计(理想)'!S29</f>
        <v>0.7435</v>
      </c>
      <c r="T29" s="20">
        <f>'伤害统计(理想)'!T29</f>
        <v>2.0895</v>
      </c>
      <c r="U29" s="20">
        <f>'伤害统计(理想)'!U29</f>
        <v>0</v>
      </c>
      <c r="V29" s="20">
        <f>'伤害统计(理想)'!V29</f>
        <v>2.0895</v>
      </c>
      <c r="W29" s="20">
        <f>'伤害统计(理想)'!W29</f>
        <v>0.2441</v>
      </c>
      <c r="X29" s="20">
        <f>'伤害统计(理想)'!X29</f>
        <v>2.3336</v>
      </c>
      <c r="Y29" s="20">
        <f>'伤害统计(理想)'!Y29</f>
        <v>0.2441</v>
      </c>
      <c r="Z29" s="20">
        <f>'伤害统计(理想)'!Z29</f>
        <v>2.3336</v>
      </c>
      <c r="AA29" s="20">
        <f>'伤害统计(理想)'!AA29</f>
        <v>0.1953</v>
      </c>
      <c r="AB29" s="20">
        <f>'伤害统计(理想)'!AB29</f>
        <v>2.5289</v>
      </c>
      <c r="AC29" s="20">
        <f t="shared" si="0"/>
        <v>32011</v>
      </c>
      <c r="AD29" s="20">
        <f t="shared" si="1"/>
        <v>44018</v>
      </c>
      <c r="AE29" s="20">
        <f t="shared" si="2"/>
        <v>47550</v>
      </c>
      <c r="AF29" s="20">
        <f t="shared" si="3"/>
        <v>66886</v>
      </c>
      <c r="AG29" s="20">
        <f t="shared" si="4"/>
        <v>102720</v>
      </c>
      <c r="AH29" s="20">
        <f t="shared" si="12"/>
        <v>120472</v>
      </c>
      <c r="AI29" s="20">
        <f t="shared" si="5"/>
        <v>38015</v>
      </c>
      <c r="AJ29" s="20">
        <f t="shared" si="6"/>
        <v>88711</v>
      </c>
      <c r="AK29" s="20">
        <f t="shared" si="7"/>
        <v>41065</v>
      </c>
      <c r="AL29" s="20">
        <f t="shared" si="8"/>
        <v>95829</v>
      </c>
      <c r="AM29" s="20">
        <f t="shared" si="9"/>
        <v>111317</v>
      </c>
      <c r="AN29" s="20">
        <f t="shared" si="10"/>
        <v>120249</v>
      </c>
    </row>
    <row r="30" spans="1:40">
      <c r="A30" s="20" t="str">
        <f>'伤害统计(理想)'!A30</f>
        <v>星辰</v>
      </c>
      <c r="B30" s="20">
        <f>'伤害统计(理想)'!B30</f>
        <v>1038</v>
      </c>
      <c r="C30" s="8">
        <f>C2</f>
        <v>34500</v>
      </c>
      <c r="D30" s="20">
        <f>D2</f>
        <v>45892</v>
      </c>
      <c r="E30" s="20">
        <f>'伤害统计(理想)'!E30</f>
        <v>0.99609375</v>
      </c>
      <c r="F30" s="20">
        <f>'伤害统计(理想)'!F30</f>
        <v>1</v>
      </c>
      <c r="G30" s="20">
        <f>'伤害统计(理想)'!G30</f>
        <v>0</v>
      </c>
      <c r="H30" s="20">
        <f>'伤害统计(理想)'!H30</f>
        <v>0</v>
      </c>
      <c r="I30" s="20">
        <f>'伤害统计(理想)'!I30</f>
        <v>0.05</v>
      </c>
      <c r="J30" s="20">
        <f>'伤害统计(理想)'!J30</f>
        <v>0.472</v>
      </c>
      <c r="K30" s="20">
        <f>'伤害统计(理想)'!K30</f>
        <v>0.1181</v>
      </c>
      <c r="L30" s="20">
        <f>'伤害统计(理想)'!L30</f>
        <v>0.177214436704937</v>
      </c>
      <c r="M30" s="20">
        <f>'伤害统计(理想)'!M30</f>
        <v>0.3473</v>
      </c>
      <c r="N30" s="20">
        <f>'伤害统计(理想)'!N30</f>
        <v>0.2</v>
      </c>
      <c r="O30" s="20">
        <f>'伤害统计(理想)'!O30</f>
        <v>0.4994</v>
      </c>
      <c r="P30" s="20">
        <f>'伤害统计(理想)'!P30</f>
        <v>0</v>
      </c>
      <c r="Q30" s="20">
        <f>'伤害统计(理想)'!Q30</f>
        <v>0.4994</v>
      </c>
      <c r="R30" s="20">
        <f>'伤害统计(理想)'!R30</f>
        <v>0.2441</v>
      </c>
      <c r="S30" s="20">
        <f>'伤害统计(理想)'!S30</f>
        <v>0.7435</v>
      </c>
      <c r="T30" s="20">
        <f>'伤害统计(理想)'!T30</f>
        <v>2.0895</v>
      </c>
      <c r="U30" s="20">
        <f>'伤害统计(理想)'!U30</f>
        <v>0</v>
      </c>
      <c r="V30" s="20">
        <f>'伤害统计(理想)'!V30</f>
        <v>2.0895</v>
      </c>
      <c r="W30" s="20">
        <f>'伤害统计(理想)'!W30</f>
        <v>0.2441</v>
      </c>
      <c r="X30" s="20">
        <f>'伤害统计(理想)'!X30</f>
        <v>2.3336</v>
      </c>
      <c r="Y30" s="20">
        <f>'伤害统计(理想)'!Y30</f>
        <v>0.2441</v>
      </c>
      <c r="Z30" s="20">
        <f>'伤害统计(理想)'!Z30</f>
        <v>2.3336</v>
      </c>
      <c r="AA30" s="20">
        <f>'伤害统计(理想)'!AA30</f>
        <v>0.1953</v>
      </c>
      <c r="AB30" s="20">
        <f>'伤害统计(理想)'!AB30</f>
        <v>2.5289</v>
      </c>
      <c r="AC30" s="20">
        <f t="shared" si="0"/>
        <v>64079</v>
      </c>
      <c r="AD30" s="20">
        <f t="shared" si="1"/>
        <v>87632</v>
      </c>
      <c r="AE30" s="20">
        <f t="shared" si="2"/>
        <v>94663</v>
      </c>
      <c r="AF30" s="20">
        <f t="shared" si="3"/>
        <v>133893</v>
      </c>
      <c r="AG30" s="20">
        <f t="shared" si="4"/>
        <v>204498</v>
      </c>
      <c r="AH30" s="20">
        <f t="shared" si="12"/>
        <v>239838</v>
      </c>
      <c r="AI30" s="20">
        <f t="shared" si="5"/>
        <v>75856</v>
      </c>
      <c r="AJ30" s="20">
        <f t="shared" si="6"/>
        <v>177017</v>
      </c>
      <c r="AK30" s="20">
        <f t="shared" si="7"/>
        <v>81942</v>
      </c>
      <c r="AL30" s="20">
        <f t="shared" si="8"/>
        <v>191219</v>
      </c>
      <c r="AM30" s="20">
        <f t="shared" si="9"/>
        <v>221612</v>
      </c>
      <c r="AN30" s="20">
        <f t="shared" si="10"/>
        <v>239393</v>
      </c>
    </row>
    <row r="31" spans="1:40">
      <c r="A31" s="20" t="str">
        <f>'伤害统计(理想)'!A31</f>
        <v>四象轮回·神兵</v>
      </c>
      <c r="B31" s="20">
        <f>'伤害统计(理想)'!B31</f>
        <v>21</v>
      </c>
      <c r="C31" s="8">
        <f>C2</f>
        <v>34500</v>
      </c>
      <c r="D31" s="20">
        <f>'伤害统计(理想)'!D31</f>
        <v>45792</v>
      </c>
      <c r="E31" s="20">
        <f>'伤害统计(理想)'!E31</f>
        <v>0.338541666666667</v>
      </c>
      <c r="F31" s="20">
        <f>'伤害统计(理想)'!F31</f>
        <v>1</v>
      </c>
      <c r="G31" s="20">
        <f>'伤害统计(理想)'!G31</f>
        <v>0</v>
      </c>
      <c r="H31" s="20">
        <f>'伤害统计(理想)'!H31</f>
        <v>0</v>
      </c>
      <c r="I31" s="20">
        <f>'伤害统计(理想)'!I31</f>
        <v>0.05</v>
      </c>
      <c r="J31" s="20">
        <f>'伤害统计(理想)'!J31</f>
        <v>0.472</v>
      </c>
      <c r="K31" s="20">
        <f>'伤害统计(理想)'!K31</f>
        <v>0.1181</v>
      </c>
      <c r="L31" s="20">
        <f>'伤害统计(理想)'!L31</f>
        <v>0.177214436704937</v>
      </c>
      <c r="M31" s="20">
        <f>'伤害统计(理想)'!M31</f>
        <v>0.3473</v>
      </c>
      <c r="N31" s="20">
        <f>'伤害统计(理想)'!N31</f>
        <v>0.2</v>
      </c>
      <c r="O31" s="20">
        <f>'伤害统计(理想)'!O31</f>
        <v>0.4994</v>
      </c>
      <c r="P31" s="20">
        <f>'伤害统计(理想)'!P31</f>
        <v>0</v>
      </c>
      <c r="Q31" s="20">
        <f>'伤害统计(理想)'!Q31</f>
        <v>0.4994</v>
      </c>
      <c r="R31" s="20">
        <f>'伤害统计(理想)'!R31</f>
        <v>0.2441</v>
      </c>
      <c r="S31" s="20">
        <f>'伤害统计(理想)'!S31</f>
        <v>0.7435</v>
      </c>
      <c r="T31" s="20">
        <f>'伤害统计(理想)'!T31</f>
        <v>2.0895</v>
      </c>
      <c r="U31" s="20">
        <f>'伤害统计(理想)'!U31</f>
        <v>0</v>
      </c>
      <c r="V31" s="20">
        <f>'伤害统计(理想)'!V31</f>
        <v>2.0895</v>
      </c>
      <c r="W31" s="20">
        <f>'伤害统计(理想)'!W31</f>
        <v>0.2441</v>
      </c>
      <c r="X31" s="20">
        <f>'伤害统计(理想)'!X31</f>
        <v>2.3336</v>
      </c>
      <c r="Y31" s="20">
        <f>'伤害统计(理想)'!Y31</f>
        <v>0.2441</v>
      </c>
      <c r="Z31" s="20">
        <f>'伤害统计(理想)'!Z31</f>
        <v>2.3336</v>
      </c>
      <c r="AA31" s="20">
        <f>'伤害统计(理想)'!AA31</f>
        <v>0.1953</v>
      </c>
      <c r="AB31" s="20">
        <f>'伤害统计(理想)'!AB31</f>
        <v>2.5289</v>
      </c>
      <c r="AC31" s="20">
        <f t="shared" si="0"/>
        <v>21277</v>
      </c>
      <c r="AD31" s="20">
        <f t="shared" si="1"/>
        <v>29282</v>
      </c>
      <c r="AE31" s="20">
        <f t="shared" si="2"/>
        <v>31631</v>
      </c>
      <c r="AF31" s="20">
        <f t="shared" si="3"/>
        <v>44458</v>
      </c>
      <c r="AG31" s="20">
        <f t="shared" si="4"/>
        <v>68332</v>
      </c>
      <c r="AH31" s="20">
        <f t="shared" si="12"/>
        <v>80140</v>
      </c>
      <c r="AI31" s="20">
        <f t="shared" si="5"/>
        <v>25280</v>
      </c>
      <c r="AJ31" s="20">
        <f t="shared" si="6"/>
        <v>58993</v>
      </c>
      <c r="AK31" s="20">
        <f t="shared" si="7"/>
        <v>27308</v>
      </c>
      <c r="AL31" s="20">
        <f t="shared" si="8"/>
        <v>63725</v>
      </c>
      <c r="AM31" s="20">
        <f t="shared" si="9"/>
        <v>74051</v>
      </c>
      <c r="AN31" s="20">
        <f t="shared" si="10"/>
        <v>79991</v>
      </c>
    </row>
    <row r="32" spans="1:28">
      <c r="A32" s="20" t="str">
        <f>'伤害统计(理想)'!A32</f>
        <v>太极无极(若冲)</v>
      </c>
      <c r="B32" s="20">
        <f>'伤害统计(理想)'!B32</f>
        <v>53</v>
      </c>
      <c r="C32" s="20">
        <f>'伤害统计(理想)'!C32</f>
        <v>99</v>
      </c>
      <c r="D32" s="20">
        <f>'伤害统计(理想)'!D32</f>
        <v>45792</v>
      </c>
      <c r="E32" s="20">
        <f>'伤害统计(理想)'!E32</f>
        <v>0.5</v>
      </c>
      <c r="F32" s="20">
        <f>'伤害统计(理想)'!F32</f>
        <v>1</v>
      </c>
      <c r="G32" s="20">
        <f>'伤害统计(理想)'!G32</f>
        <v>0.5</v>
      </c>
      <c r="H32" s="20">
        <f>'伤害统计(理想)'!H32</f>
        <v>0.3</v>
      </c>
      <c r="I32" s="20">
        <f>'伤害统计(理想)'!I32</f>
        <v>0.05</v>
      </c>
      <c r="J32" s="20">
        <f>'伤害统计(理想)'!J32</f>
        <v>0.472</v>
      </c>
      <c r="K32" s="20">
        <f>'伤害统计(理想)'!K32</f>
        <v>0.1181</v>
      </c>
      <c r="L32" s="20">
        <f>'伤害统计(理想)'!L32</f>
        <v>0.177214436704937</v>
      </c>
      <c r="M32" s="20">
        <f>'伤害统计(理想)'!M32</f>
        <v>0.3473</v>
      </c>
      <c r="N32" s="20">
        <f>'伤害统计(理想)'!N32</f>
        <v>0.2</v>
      </c>
      <c r="O32" s="20">
        <f>'伤害统计(理想)'!O32</f>
        <v>0.4994</v>
      </c>
      <c r="P32" s="20">
        <f>'伤害统计(理想)'!P32</f>
        <v>0</v>
      </c>
      <c r="Q32" s="20">
        <f>'伤害统计(理想)'!Q32</f>
        <v>0.4994</v>
      </c>
      <c r="R32" s="20">
        <f>'伤害统计(理想)'!R32</f>
        <v>0.2441</v>
      </c>
      <c r="S32" s="20">
        <f>'伤害统计(理想)'!S32</f>
        <v>0.7435</v>
      </c>
      <c r="T32" s="20">
        <f>'伤害统计(理想)'!T32</f>
        <v>2.0895</v>
      </c>
      <c r="U32" s="20">
        <f>'伤害统计(理想)'!U32</f>
        <v>0</v>
      </c>
      <c r="V32" s="20">
        <f>'伤害统计(理想)'!V32</f>
        <v>2.0895</v>
      </c>
      <c r="W32" s="20">
        <f>'伤害统计(理想)'!W32</f>
        <v>0.2441</v>
      </c>
      <c r="X32" s="20">
        <f>'伤害统计(理想)'!X32</f>
        <v>2.3336</v>
      </c>
      <c r="Y32" s="20">
        <f>'伤害统计(理想)'!Y32</f>
        <v>0.2441</v>
      </c>
      <c r="Z32" s="20">
        <f>'伤害统计(理想)'!Z32</f>
        <v>2.3336</v>
      </c>
      <c r="AA32" s="20">
        <f>'伤害统计(理想)'!AA32</f>
        <v>0.1953</v>
      </c>
      <c r="AB32" s="20">
        <f>'伤害统计(理想)'!AB32</f>
        <v>2.5289</v>
      </c>
    </row>
    <row r="33" spans="1:29">
      <c r="A33" s="20">
        <f>'伤害统计(理想)'!A33</f>
        <v>0</v>
      </c>
      <c r="B33" s="20">
        <f>'伤害统计(理想)'!B33</f>
        <v>0</v>
      </c>
      <c r="C33" s="20">
        <f>'伤害统计(理想)'!C33</f>
        <v>0</v>
      </c>
      <c r="D33" s="20">
        <f>'伤害统计(理想)'!D33</f>
        <v>0</v>
      </c>
      <c r="E33" s="20">
        <f>'伤害统计(理想)'!E33</f>
        <v>0</v>
      </c>
      <c r="F33" s="20">
        <f>'伤害统计(理想)'!F33</f>
        <v>0</v>
      </c>
      <c r="G33" s="20">
        <f>'伤害统计(理想)'!G33</f>
        <v>0</v>
      </c>
      <c r="H33" s="20">
        <f>'伤害统计(理想)'!H33</f>
        <v>0</v>
      </c>
      <c r="I33" s="20">
        <f>'伤害统计(理想)'!I33</f>
        <v>0</v>
      </c>
      <c r="J33" s="20">
        <f>'伤害统计(理想)'!J33</f>
        <v>0</v>
      </c>
      <c r="K33" s="20">
        <f>'伤害统计(理想)'!K33</f>
        <v>0</v>
      </c>
      <c r="L33" s="20">
        <f>'伤害统计(理想)'!L33</f>
        <v>0</v>
      </c>
      <c r="M33" s="20">
        <f>'伤害统计(理想)'!M33</f>
        <v>0</v>
      </c>
      <c r="N33" s="20">
        <f>'伤害统计(理想)'!N33</f>
        <v>0</v>
      </c>
      <c r="O33" s="20">
        <f>'伤害统计(理想)'!O33</f>
        <v>0</v>
      </c>
      <c r="P33" s="20">
        <f>'伤害统计(理想)'!P33</f>
        <v>0</v>
      </c>
      <c r="Q33" s="20">
        <f>'伤害统计(理想)'!Q33</f>
        <v>0</v>
      </c>
      <c r="R33" s="20">
        <f>'伤害统计(理想)'!R33</f>
        <v>0</v>
      </c>
      <c r="S33" s="20">
        <f>'伤害统计(理想)'!S33</f>
        <v>0</v>
      </c>
      <c r="T33" s="20">
        <f>'伤害统计(理想)'!T33</f>
        <v>0</v>
      </c>
      <c r="U33" s="20">
        <f>'伤害统计(理想)'!U33</f>
        <v>0</v>
      </c>
      <c r="V33" s="20">
        <f>'伤害统计(理想)'!V33</f>
        <v>0</v>
      </c>
      <c r="W33" s="20">
        <f>'伤害统计(理想)'!W33</f>
        <v>0</v>
      </c>
      <c r="X33" s="20">
        <f>'伤害统计(理想)'!X33</f>
        <v>0</v>
      </c>
      <c r="Y33" s="20">
        <f>'伤害统计(理想)'!Y33</f>
        <v>0</v>
      </c>
      <c r="Z33" s="20">
        <f>'伤害统计(理想)'!Z33</f>
        <v>0</v>
      </c>
      <c r="AA33" s="20">
        <f>'伤害统计(理想)'!AA33</f>
        <v>0</v>
      </c>
      <c r="AB33" s="20">
        <f>'伤害统计(理想)'!AB33</f>
        <v>0</v>
      </c>
      <c r="AC33" s="29"/>
    </row>
    <row r="34" spans="1:29">
      <c r="A34" s="20">
        <f>'伤害统计(理想)'!A34</f>
        <v>0</v>
      </c>
      <c r="B34" s="20">
        <f>'伤害统计(理想)'!B34</f>
        <v>0</v>
      </c>
      <c r="C34" s="20">
        <f>'伤害统计(理想)'!C34</f>
        <v>0</v>
      </c>
      <c r="D34" s="20">
        <f>'伤害统计(理想)'!D34</f>
        <v>0</v>
      </c>
      <c r="E34" s="20">
        <f>'伤害统计(理想)'!E34</f>
        <v>0</v>
      </c>
      <c r="F34" s="20">
        <f>'伤害统计(理想)'!F34</f>
        <v>0</v>
      </c>
      <c r="G34" s="20">
        <f>'伤害统计(理想)'!G34</f>
        <v>0</v>
      </c>
      <c r="H34" s="20">
        <f>'伤害统计(理想)'!H34</f>
        <v>0</v>
      </c>
      <c r="I34" s="20">
        <f>'伤害统计(理想)'!I34</f>
        <v>0</v>
      </c>
      <c r="J34" s="20">
        <f>'伤害统计(理想)'!J34</f>
        <v>0</v>
      </c>
      <c r="K34" s="20">
        <f>'伤害统计(理想)'!K34</f>
        <v>0</v>
      </c>
      <c r="L34" s="20">
        <f>'伤害统计(理想)'!L34</f>
        <v>0</v>
      </c>
      <c r="M34" s="20">
        <f>'伤害统计(理想)'!M34</f>
        <v>0</v>
      </c>
      <c r="N34" s="20">
        <f>'伤害统计(理想)'!N34</f>
        <v>0</v>
      </c>
      <c r="O34" s="20">
        <f>'伤害统计(理想)'!O34</f>
        <v>0</v>
      </c>
      <c r="P34" s="20">
        <f>'伤害统计(理想)'!P34</f>
        <v>0</v>
      </c>
      <c r="Q34" s="20">
        <f>'伤害统计(理想)'!Q34</f>
        <v>0</v>
      </c>
      <c r="R34" s="20">
        <f>'伤害统计(理想)'!R34</f>
        <v>0</v>
      </c>
      <c r="S34" s="20">
        <f>'伤害统计(理想)'!S34</f>
        <v>0</v>
      </c>
      <c r="T34" s="20">
        <f>'伤害统计(理想)'!T34</f>
        <v>0</v>
      </c>
      <c r="U34" s="20">
        <f>'伤害统计(理想)'!U34</f>
        <v>0</v>
      </c>
      <c r="V34" s="20">
        <f>'伤害统计(理想)'!V34</f>
        <v>0</v>
      </c>
      <c r="W34" s="20">
        <f>'伤害统计(理想)'!W34</f>
        <v>0</v>
      </c>
      <c r="X34" s="20">
        <f>'伤害统计(理想)'!X34</f>
        <v>0</v>
      </c>
      <c r="Y34" s="20">
        <f>'伤害统计(理想)'!Y34</f>
        <v>0</v>
      </c>
      <c r="Z34" s="20">
        <f>'伤害统计(理想)'!Z34</f>
        <v>0</v>
      </c>
      <c r="AA34" s="20">
        <f>'伤害统计(理想)'!AA34</f>
        <v>0</v>
      </c>
      <c r="AB34" s="20">
        <f>'伤害统计(理想)'!AB34</f>
        <v>0</v>
      </c>
      <c r="AC34" s="29"/>
    </row>
    <row r="35" spans="1:29">
      <c r="A35" s="20">
        <f>'伤害统计(理想)'!A35</f>
        <v>0</v>
      </c>
      <c r="B35" s="20">
        <f>'伤害统计(理想)'!B35</f>
        <v>0</v>
      </c>
      <c r="C35" s="20">
        <f>'伤害统计(理想)'!C35</f>
        <v>0</v>
      </c>
      <c r="D35" s="20">
        <f>'伤害统计(理想)'!D35</f>
        <v>0</v>
      </c>
      <c r="E35" s="20">
        <f>'伤害统计(理想)'!E35</f>
        <v>0</v>
      </c>
      <c r="F35" s="20">
        <f>'伤害统计(理想)'!F35</f>
        <v>0</v>
      </c>
      <c r="G35" s="20">
        <f>'伤害统计(理想)'!G35</f>
        <v>0</v>
      </c>
      <c r="H35" s="20">
        <f>'伤害统计(理想)'!H35</f>
        <v>0</v>
      </c>
      <c r="I35" s="20">
        <f>'伤害统计(理想)'!I35</f>
        <v>0</v>
      </c>
      <c r="J35" s="20">
        <f>'伤害统计(理想)'!J35</f>
        <v>0</v>
      </c>
      <c r="K35" s="20">
        <f>'伤害统计(理想)'!K35</f>
        <v>0</v>
      </c>
      <c r="L35" s="20">
        <f>'伤害统计(理想)'!L35</f>
        <v>0</v>
      </c>
      <c r="M35" s="20">
        <f>'伤害统计(理想)'!M35</f>
        <v>0</v>
      </c>
      <c r="N35" s="20">
        <f>'伤害统计(理想)'!N35</f>
        <v>0</v>
      </c>
      <c r="O35" s="20">
        <f>'伤害统计(理想)'!O35</f>
        <v>0</v>
      </c>
      <c r="P35" s="20">
        <f>'伤害统计(理想)'!P35</f>
        <v>0</v>
      </c>
      <c r="Q35" s="20">
        <f>'伤害统计(理想)'!Q35</f>
        <v>0</v>
      </c>
      <c r="R35" s="20">
        <f>'伤害统计(理想)'!R35</f>
        <v>0</v>
      </c>
      <c r="S35" s="20">
        <f>'伤害统计(理想)'!S35</f>
        <v>0</v>
      </c>
      <c r="T35" s="20">
        <f>'伤害统计(理想)'!T35</f>
        <v>0</v>
      </c>
      <c r="U35" s="20">
        <f>'伤害统计(理想)'!U35</f>
        <v>0</v>
      </c>
      <c r="V35" s="20">
        <f>'伤害统计(理想)'!V35</f>
        <v>0</v>
      </c>
      <c r="W35" s="20">
        <f>'伤害统计(理想)'!W35</f>
        <v>0</v>
      </c>
      <c r="X35" s="20">
        <f>'伤害统计(理想)'!X35</f>
        <v>0</v>
      </c>
      <c r="Y35" s="20">
        <f>'伤害统计(理想)'!Y35</f>
        <v>0</v>
      </c>
      <c r="Z35" s="20">
        <f>'伤害统计(理想)'!Z35</f>
        <v>0</v>
      </c>
      <c r="AA35" s="20">
        <f>'伤害统计(理想)'!AA35</f>
        <v>0</v>
      </c>
      <c r="AB35" s="20">
        <f>'伤害统计(理想)'!AB35</f>
        <v>0</v>
      </c>
      <c r="AC35" s="29"/>
    </row>
    <row r="36" spans="1:29">
      <c r="A36" s="20">
        <f>'伤害统计(理想)'!A36</f>
        <v>0</v>
      </c>
      <c r="B36" s="20">
        <f>'伤害统计(理想)'!B36</f>
        <v>0</v>
      </c>
      <c r="C36" s="20">
        <f>'伤害统计(理想)'!C36</f>
        <v>0</v>
      </c>
      <c r="D36" s="20">
        <f>'伤害统计(理想)'!D36</f>
        <v>0</v>
      </c>
      <c r="E36" s="20">
        <f>'伤害统计(理想)'!E36</f>
        <v>0</v>
      </c>
      <c r="F36" s="20">
        <f>'伤害统计(理想)'!F36</f>
        <v>0</v>
      </c>
      <c r="G36" s="20">
        <f>'伤害统计(理想)'!G36</f>
        <v>0</v>
      </c>
      <c r="H36" s="20">
        <f>'伤害统计(理想)'!H36</f>
        <v>0</v>
      </c>
      <c r="I36" s="20">
        <f>'伤害统计(理想)'!I36</f>
        <v>0</v>
      </c>
      <c r="J36" s="20">
        <f>'伤害统计(理想)'!J36</f>
        <v>0</v>
      </c>
      <c r="K36" s="20">
        <f>'伤害统计(理想)'!K36</f>
        <v>0</v>
      </c>
      <c r="L36" s="20">
        <f>'伤害统计(理想)'!L36</f>
        <v>0</v>
      </c>
      <c r="M36" s="20">
        <f>'伤害统计(理想)'!M36</f>
        <v>0</v>
      </c>
      <c r="N36" s="20">
        <f>'伤害统计(理想)'!N36</f>
        <v>0</v>
      </c>
      <c r="O36" s="20">
        <f>'伤害统计(理想)'!O36</f>
        <v>0</v>
      </c>
      <c r="P36" s="20">
        <f>'伤害统计(理想)'!P36</f>
        <v>0</v>
      </c>
      <c r="Q36" s="20">
        <f>'伤害统计(理想)'!Q36</f>
        <v>0</v>
      </c>
      <c r="R36" s="20">
        <f>'伤害统计(理想)'!R36</f>
        <v>0</v>
      </c>
      <c r="S36" s="20">
        <f>'伤害统计(理想)'!S36</f>
        <v>0</v>
      </c>
      <c r="T36" s="20">
        <f>'伤害统计(理想)'!T36</f>
        <v>0</v>
      </c>
      <c r="U36" s="20">
        <f>'伤害统计(理想)'!U36</f>
        <v>0</v>
      </c>
      <c r="V36" s="20">
        <f>'伤害统计(理想)'!V36</f>
        <v>0</v>
      </c>
      <c r="W36" s="20">
        <f>'伤害统计(理想)'!W36</f>
        <v>0</v>
      </c>
      <c r="X36" s="20">
        <f>'伤害统计(理想)'!X36</f>
        <v>0</v>
      </c>
      <c r="Y36" s="20">
        <f>'伤害统计(理想)'!Y36</f>
        <v>0</v>
      </c>
      <c r="Z36" s="20">
        <f>'伤害统计(理想)'!Z36</f>
        <v>0</v>
      </c>
      <c r="AA36" s="20">
        <f>'伤害统计(理想)'!AA36</f>
        <v>0</v>
      </c>
      <c r="AB36" s="20">
        <f>'伤害统计(理想)'!AB36</f>
        <v>0</v>
      </c>
      <c r="AC36" s="29"/>
    </row>
    <row r="37" spans="1:29">
      <c r="A37" s="20">
        <f>'伤害统计(理想)'!A37</f>
        <v>0</v>
      </c>
      <c r="B37" s="20" t="str">
        <f>'伤害统计(理想)'!B37</f>
        <v>常规</v>
      </c>
      <c r="C37" s="20" t="str">
        <f>'伤害统计(理想)'!C37</f>
        <v>小紫</v>
      </c>
      <c r="D37" s="20" t="str">
        <f>'伤害统计(理想)'!D37</f>
        <v>大紫</v>
      </c>
      <c r="E37" s="20" t="str">
        <f>'伤害统计(理想)'!E37</f>
        <v>大紫会神</v>
      </c>
      <c r="F37" s="20" t="str">
        <f>'伤害统计(理想)'!F37</f>
        <v>腰坠常规</v>
      </c>
      <c r="G37" s="20" t="str">
        <f>'伤害统计(理想)'!G37</f>
        <v>腰坠小紫</v>
      </c>
      <c r="H37" s="20" t="str">
        <f>'伤害统计(理想)'!H37</f>
        <v>腰坠大紫</v>
      </c>
      <c r="I37" s="20" t="str">
        <f>'伤害统计(理想)'!I37</f>
        <v>腰坠大紫会神</v>
      </c>
      <c r="J37" s="20">
        <f>'伤害统计(理想)'!J37</f>
        <v>0</v>
      </c>
      <c r="K37" s="20">
        <f>'伤害统计(理想)'!K37</f>
        <v>0</v>
      </c>
      <c r="L37" s="20" t="str">
        <f>'伤害统计(理想)'!L37</f>
        <v>技能数统计</v>
      </c>
      <c r="M37" s="20" t="str">
        <f>'伤害统计(理想)'!M37</f>
        <v>不可修改</v>
      </c>
      <c r="N37" s="20">
        <f>'伤害统计(理想)'!N37</f>
        <v>0</v>
      </c>
      <c r="O37" s="20">
        <f>'伤害统计(理想)'!O37</f>
        <v>0</v>
      </c>
      <c r="P37" s="20">
        <f>'伤害统计(理想)'!P37</f>
        <v>0</v>
      </c>
      <c r="Q37" s="20">
        <f>'伤害统计(理想)'!Q37</f>
        <v>0</v>
      </c>
      <c r="R37" s="20">
        <f>'伤害统计(理想)'!R37</f>
        <v>0</v>
      </c>
      <c r="S37" s="20">
        <f>'伤害统计(理想)'!S37</f>
        <v>0</v>
      </c>
      <c r="T37" s="20">
        <f>'伤害统计(理想)'!T37</f>
        <v>0</v>
      </c>
      <c r="U37" s="20">
        <f>'伤害统计(理想)'!U37</f>
        <v>0</v>
      </c>
      <c r="V37" s="20">
        <f>'伤害统计(理想)'!V37</f>
        <v>0</v>
      </c>
      <c r="W37" s="20">
        <f>'伤害统计(理想)'!W37</f>
        <v>0</v>
      </c>
      <c r="X37" s="20">
        <f>'伤害统计(理想)'!X37</f>
        <v>0</v>
      </c>
      <c r="Y37" s="20">
        <f>'伤害统计(理想)'!Y37</f>
        <v>0</v>
      </c>
      <c r="Z37" s="20">
        <f>'伤害统计(理想)'!Z37</f>
        <v>0</v>
      </c>
      <c r="AA37" s="20">
        <f>'伤害统计(理想)'!AA37</f>
        <v>0</v>
      </c>
      <c r="AB37" s="20">
        <f>'伤害统计(理想)'!AB37</f>
        <v>0</v>
      </c>
      <c r="AC37" s="29"/>
    </row>
    <row r="38" spans="1:29">
      <c r="A38" s="20" t="str">
        <f>'伤害统计(理想)'!A38</f>
        <v>万世二段</v>
      </c>
      <c r="B38" s="20">
        <f>'伤害统计(理想)'!B38</f>
        <v>7</v>
      </c>
      <c r="C38" s="20">
        <f>'伤害统计(理想)'!C38</f>
        <v>0</v>
      </c>
      <c r="D38" s="20">
        <f>'伤害统计(理想)'!D38</f>
        <v>0</v>
      </c>
      <c r="E38" s="20">
        <f>'伤害统计(理想)'!E38</f>
        <v>0</v>
      </c>
      <c r="F38" s="20">
        <f>'伤害统计(理想)'!F38</f>
        <v>0</v>
      </c>
      <c r="G38" s="20">
        <f>'伤害统计(理想)'!G38</f>
        <v>0</v>
      </c>
      <c r="H38" s="20">
        <f>'伤害统计(理想)'!H38</f>
        <v>0</v>
      </c>
      <c r="I38" s="20">
        <f>'伤害统计(理想)'!I38</f>
        <v>0</v>
      </c>
      <c r="J38" s="20">
        <f>'伤害统计(理想)'!J38</f>
        <v>0</v>
      </c>
      <c r="K38" s="20">
        <f>'伤害统计(理想)'!K38</f>
        <v>7</v>
      </c>
      <c r="L38" s="20">
        <f>'伤害统计(理想)'!L38</f>
        <v>7</v>
      </c>
      <c r="M38" s="20">
        <f>'伤害统计(理想)'!M38</f>
        <v>7</v>
      </c>
      <c r="N38" s="20" t="str">
        <f>'伤害统计(理想)'!N38</f>
        <v>伤害统计</v>
      </c>
      <c r="O38" s="20">
        <f>'伤害统计(理想)'!O38</f>
        <v>0</v>
      </c>
      <c r="P38" s="20">
        <f>'伤害统计(理想)'!P38</f>
        <v>0</v>
      </c>
      <c r="Q38" s="20">
        <f>'伤害统计(理想)'!Q38</f>
        <v>0</v>
      </c>
      <c r="R38" s="20">
        <f>'伤害统计(理想)'!R38</f>
        <v>0</v>
      </c>
      <c r="S38" s="20">
        <f>'伤害统计(理想)'!S38</f>
        <v>0</v>
      </c>
      <c r="T38" s="20">
        <f>'伤害统计(理想)'!T38</f>
        <v>0</v>
      </c>
      <c r="U38" s="20">
        <f>'伤害统计(理想)'!U38</f>
        <v>0</v>
      </c>
      <c r="V38" s="20">
        <f>'伤害统计(理想)'!V38</f>
        <v>0</v>
      </c>
      <c r="W38" s="20">
        <f>'伤害统计(理想)'!W38</f>
        <v>0</v>
      </c>
      <c r="X38" s="20">
        <f>'伤害统计(理想)'!X38</f>
        <v>0</v>
      </c>
      <c r="Y38" s="20">
        <f>'伤害统计(理想)'!Y38</f>
        <v>0</v>
      </c>
      <c r="Z38" s="20">
        <f>'伤害统计(理想)'!Z38</f>
        <v>0</v>
      </c>
      <c r="AA38" s="20">
        <f>'伤害统计(理想)'!AA38</f>
        <v>0</v>
      </c>
      <c r="AB38" s="20">
        <f>'伤害统计(理想)'!AB38</f>
        <v>0</v>
      </c>
      <c r="AC38" s="29"/>
    </row>
    <row r="39" spans="1:29">
      <c r="A39" s="20" t="str">
        <f>'伤害统计(理想)'!A39</f>
        <v>飞剑1</v>
      </c>
      <c r="B39" s="20">
        <f>'伤害统计(理想)'!B39</f>
        <v>99</v>
      </c>
      <c r="C39" s="20">
        <f>'伤害统计(理想)'!C39</f>
        <v>0</v>
      </c>
      <c r="D39" s="20">
        <f>'伤害统计(理想)'!D39</f>
        <v>5</v>
      </c>
      <c r="E39" s="20">
        <f>'伤害统计(理想)'!E39</f>
        <v>10</v>
      </c>
      <c r="F39" s="20">
        <f>'伤害统计(理想)'!F39</f>
        <v>2</v>
      </c>
      <c r="G39" s="20">
        <f>'伤害统计(理想)'!G39</f>
        <v>0</v>
      </c>
      <c r="H39" s="20">
        <f>'伤害统计(理想)'!H39</f>
        <v>2</v>
      </c>
      <c r="I39" s="20">
        <f>'伤害统计(理想)'!I39</f>
        <v>4</v>
      </c>
      <c r="J39" s="20">
        <f>'伤害统计(理想)'!J39</f>
        <v>0</v>
      </c>
      <c r="K39" s="20">
        <f>'伤害统计(理想)'!K39</f>
        <v>122</v>
      </c>
      <c r="L39" s="20">
        <f>'伤害统计(理想)'!L39</f>
        <v>610</v>
      </c>
      <c r="M39" s="20">
        <f>'伤害统计(理想)'!M39</f>
        <v>115</v>
      </c>
      <c r="N39" s="20">
        <f>'伤害统计(理想)'!N39</f>
        <v>0</v>
      </c>
      <c r="O39" s="20" t="str">
        <f>'伤害统计(理想)'!O39</f>
        <v>技能名称</v>
      </c>
      <c r="P39" s="20" t="str">
        <f>'伤害统计(理想)'!P39</f>
        <v>次数</v>
      </c>
      <c r="Q39" s="20" t="str">
        <f>'伤害统计(理想)'!Q39</f>
        <v>正常伤害</v>
      </c>
      <c r="R39" s="20" t="str">
        <f>'伤害统计(理想)'!R39</f>
        <v>伤害占比</v>
      </c>
      <c r="S39" s="20">
        <f>'伤害统计(理想)'!S39</f>
        <v>0</v>
      </c>
      <c r="T39" s="20">
        <f>'伤害统计(理想)'!T39</f>
        <v>0</v>
      </c>
      <c r="U39" s="20">
        <f>'伤害统计(理想)'!U39</f>
        <v>0</v>
      </c>
      <c r="V39" s="20">
        <f>'伤害统计(理想)'!V39</f>
        <v>0</v>
      </c>
      <c r="W39" s="20">
        <f>'伤害统计(理想)'!W39</f>
        <v>0</v>
      </c>
      <c r="X39" s="20">
        <f>'伤害统计(理想)'!X39</f>
        <v>0</v>
      </c>
      <c r="Y39" s="20">
        <f>'伤害统计(理想)'!Y39</f>
        <v>0</v>
      </c>
      <c r="Z39" s="20">
        <f>'伤害统计(理想)'!Z39</f>
        <v>0</v>
      </c>
      <c r="AA39" s="20">
        <f>'伤害统计(理想)'!AA39</f>
        <v>0</v>
      </c>
      <c r="AB39" s="20">
        <f>'伤害统计(理想)'!AB39</f>
        <v>0</v>
      </c>
      <c r="AC39" s="29"/>
    </row>
    <row r="40" spans="1:29">
      <c r="A40" s="20" t="str">
        <f>'伤害统计(理想)'!A40</f>
        <v>飞剑2</v>
      </c>
      <c r="B40" s="20">
        <f>'伤害统计(理想)'!B40</f>
        <v>99</v>
      </c>
      <c r="C40" s="20">
        <f>'伤害统计(理想)'!C40</f>
        <v>0</v>
      </c>
      <c r="D40" s="20">
        <f>'伤害统计(理想)'!D40</f>
        <v>5</v>
      </c>
      <c r="E40" s="20">
        <f>'伤害统计(理想)'!E40</f>
        <v>10</v>
      </c>
      <c r="F40" s="20">
        <f>'伤害统计(理想)'!F40</f>
        <v>2</v>
      </c>
      <c r="G40" s="20">
        <f>'伤害统计(理想)'!G40</f>
        <v>0</v>
      </c>
      <c r="H40" s="20">
        <f>'伤害统计(理想)'!H40</f>
        <v>2</v>
      </c>
      <c r="I40" s="20">
        <f>'伤害统计(理想)'!I40</f>
        <v>4</v>
      </c>
      <c r="J40" s="20">
        <f>'伤害统计(理想)'!J40</f>
        <v>0</v>
      </c>
      <c r="K40" s="20">
        <f>'伤害统计(理想)'!K40</f>
        <v>122</v>
      </c>
      <c r="L40" s="20">
        <f>'伤害统计(理想)'!L40</f>
        <v>0</v>
      </c>
      <c r="M40" s="20">
        <f>'伤害统计(理想)'!M40</f>
        <v>0</v>
      </c>
      <c r="N40" s="20">
        <f>'伤害统计(理想)'!N40</f>
        <v>1</v>
      </c>
      <c r="O40" s="20" t="str">
        <f>'伤害统计(理想)'!O40</f>
        <v>破</v>
      </c>
      <c r="P40" s="20">
        <f>'伤害统计(理想)'!P40</f>
        <v>91</v>
      </c>
      <c r="Q40" s="20">
        <f>'伤害统计(理想)'!Q40</f>
        <v>50882445</v>
      </c>
      <c r="R40" s="20">
        <f>'伤害统计(理想)'!R40</f>
        <v>0.235591999359747</v>
      </c>
      <c r="S40" s="20">
        <f>'伤害统计(理想)'!S40</f>
        <v>0</v>
      </c>
      <c r="T40" s="20">
        <f>'伤害统计(理想)'!T40</f>
        <v>0</v>
      </c>
      <c r="U40" s="20">
        <f>'伤害统计(理想)'!U40</f>
        <v>0</v>
      </c>
      <c r="V40" s="20">
        <f>'伤害统计(理想)'!V40</f>
        <v>0</v>
      </c>
      <c r="W40" s="20">
        <f>'伤害统计(理想)'!W40</f>
        <v>0</v>
      </c>
      <c r="X40" s="20">
        <f>'伤害统计(理想)'!X40</f>
        <v>0</v>
      </c>
      <c r="Y40" s="20">
        <f>'伤害统计(理想)'!Y40</f>
        <v>0</v>
      </c>
      <c r="Z40" s="20">
        <f>'伤害统计(理想)'!Z40</f>
        <v>0</v>
      </c>
      <c r="AA40" s="20">
        <f>'伤害统计(理想)'!AA40</f>
        <v>0</v>
      </c>
      <c r="AB40" s="20">
        <f>'伤害统计(理想)'!AB40</f>
        <v>0</v>
      </c>
      <c r="AC40" s="29"/>
    </row>
    <row r="41" spans="1:29">
      <c r="A41" s="20" t="str">
        <f>'伤害统计(理想)'!A41</f>
        <v>飞剑3</v>
      </c>
      <c r="B41" s="20">
        <f>'伤害统计(理想)'!B41</f>
        <v>99</v>
      </c>
      <c r="C41" s="20">
        <f>'伤害统计(理想)'!C41</f>
        <v>0</v>
      </c>
      <c r="D41" s="20">
        <f>'伤害统计(理想)'!D41</f>
        <v>5</v>
      </c>
      <c r="E41" s="20">
        <f>'伤害统计(理想)'!E41</f>
        <v>10</v>
      </c>
      <c r="F41" s="20">
        <f>'伤害统计(理想)'!F41</f>
        <v>2</v>
      </c>
      <c r="G41" s="20">
        <f>'伤害统计(理想)'!G41</f>
        <v>0</v>
      </c>
      <c r="H41" s="20">
        <f>'伤害统计(理想)'!H41</f>
        <v>2</v>
      </c>
      <c r="I41" s="20">
        <f>'伤害统计(理想)'!I41</f>
        <v>4</v>
      </c>
      <c r="J41" s="20">
        <f>'伤害统计(理想)'!J41</f>
        <v>0</v>
      </c>
      <c r="K41" s="20">
        <f>'伤害统计(理想)'!K41</f>
        <v>122</v>
      </c>
      <c r="L41" s="20">
        <f>'伤害统计(理想)'!L41</f>
        <v>0</v>
      </c>
      <c r="M41" s="20">
        <f>'伤害统计(理想)'!M41</f>
        <v>0</v>
      </c>
      <c r="N41" s="20">
        <f>'伤害统计(理想)'!N41</f>
        <v>2</v>
      </c>
      <c r="O41" s="20" t="str">
        <f>'伤害统计(理想)'!O41</f>
        <v>飞剑</v>
      </c>
      <c r="P41" s="20">
        <f>'伤害统计(理想)'!P41</f>
        <v>610</v>
      </c>
      <c r="Q41" s="20">
        <f>'伤害统计(理想)'!Q41</f>
        <v>67946513</v>
      </c>
      <c r="R41" s="20">
        <f>'伤害统计(理想)'!R41</f>
        <v>0.314600739944651</v>
      </c>
      <c r="S41" s="20">
        <f>'伤害统计(理想)'!S41</f>
        <v>0</v>
      </c>
      <c r="T41" s="20">
        <f>'伤害统计(理想)'!T41</f>
        <v>0</v>
      </c>
      <c r="U41" s="20">
        <f>'伤害统计(理想)'!U41</f>
        <v>0</v>
      </c>
      <c r="V41" s="20">
        <f>'伤害统计(理想)'!V41</f>
        <v>0</v>
      </c>
      <c r="W41" s="20">
        <f>'伤害统计(理想)'!W41</f>
        <v>0</v>
      </c>
      <c r="X41" s="20">
        <f>'伤害统计(理想)'!X41</f>
        <v>0</v>
      </c>
      <c r="Y41" s="20">
        <f>'伤害统计(理想)'!Y41</f>
        <v>0</v>
      </c>
      <c r="Z41" s="20">
        <f>'伤害统计(理想)'!Z41</f>
        <v>0</v>
      </c>
      <c r="AA41" s="20">
        <f>'伤害统计(理想)'!AA41</f>
        <v>0</v>
      </c>
      <c r="AB41" s="20">
        <f>'伤害统计(理想)'!AB41</f>
        <v>0</v>
      </c>
      <c r="AC41" s="29"/>
    </row>
    <row r="42" spans="1:29">
      <c r="A42" s="20" t="str">
        <f>'伤害统计(理想)'!A42</f>
        <v>飞剑4</v>
      </c>
      <c r="B42" s="20">
        <f>'伤害统计(理想)'!B42</f>
        <v>99</v>
      </c>
      <c r="C42" s="20">
        <f>'伤害统计(理想)'!C42</f>
        <v>0</v>
      </c>
      <c r="D42" s="20">
        <f>'伤害统计(理想)'!D42</f>
        <v>5</v>
      </c>
      <c r="E42" s="20">
        <f>'伤害统计(理想)'!E42</f>
        <v>10</v>
      </c>
      <c r="F42" s="20">
        <f>'伤害统计(理想)'!F42</f>
        <v>2</v>
      </c>
      <c r="G42" s="20">
        <f>'伤害统计(理想)'!G42</f>
        <v>0</v>
      </c>
      <c r="H42" s="20">
        <f>'伤害统计(理想)'!H42</f>
        <v>2</v>
      </c>
      <c r="I42" s="20">
        <f>'伤害统计(理想)'!I42</f>
        <v>4</v>
      </c>
      <c r="J42" s="20">
        <f>'伤害统计(理想)'!J42</f>
        <v>0</v>
      </c>
      <c r="K42" s="20">
        <f>'伤害统计(理想)'!K42</f>
        <v>122</v>
      </c>
      <c r="L42" s="20">
        <f>'伤害统计(理想)'!L42</f>
        <v>0</v>
      </c>
      <c r="M42" s="20">
        <f>'伤害统计(理想)'!M42</f>
        <v>0</v>
      </c>
      <c r="N42" s="20">
        <f>'伤害统计(理想)'!N42</f>
        <v>3</v>
      </c>
      <c r="O42" s="20" t="str">
        <f>'伤害统计(理想)'!O42</f>
        <v>两仪</v>
      </c>
      <c r="P42" s="20">
        <f>'伤害统计(理想)'!P42</f>
        <v>84</v>
      </c>
      <c r="Q42" s="20">
        <f>'伤害统计(理想)'!Q42</f>
        <v>28818379</v>
      </c>
      <c r="R42" s="20">
        <f>'伤害统计(理想)'!R42</f>
        <v>0.133432651023687</v>
      </c>
      <c r="S42" s="20">
        <f>'伤害统计(理想)'!S42</f>
        <v>0</v>
      </c>
      <c r="T42" s="20">
        <f>'伤害统计(理想)'!T42</f>
        <v>0</v>
      </c>
      <c r="U42" s="20">
        <f>'伤害统计(理想)'!U42</f>
        <v>0</v>
      </c>
      <c r="V42" s="20">
        <f>'伤害统计(理想)'!V42</f>
        <v>0</v>
      </c>
      <c r="W42" s="20">
        <f>'伤害统计(理想)'!W42</f>
        <v>0</v>
      </c>
      <c r="X42" s="20">
        <f>'伤害统计(理想)'!X42</f>
        <v>0</v>
      </c>
      <c r="Y42" s="20">
        <f>'伤害统计(理想)'!Y42</f>
        <v>0</v>
      </c>
      <c r="Z42" s="20">
        <f>'伤害统计(理想)'!Z42</f>
        <v>0</v>
      </c>
      <c r="AA42" s="20">
        <f>'伤害统计(理想)'!AA42</f>
        <v>0</v>
      </c>
      <c r="AB42" s="20">
        <f>'伤害统计(理想)'!AB42</f>
        <v>0</v>
      </c>
      <c r="AC42" s="29"/>
    </row>
    <row r="43" spans="1:29">
      <c r="A43" s="20" t="str">
        <f>'伤害统计(理想)'!A43</f>
        <v>飞剑5</v>
      </c>
      <c r="B43" s="20">
        <f>'伤害统计(理想)'!B43</f>
        <v>99</v>
      </c>
      <c r="C43" s="20">
        <f>'伤害统计(理想)'!C43</f>
        <v>0</v>
      </c>
      <c r="D43" s="20">
        <f>'伤害统计(理想)'!D43</f>
        <v>5</v>
      </c>
      <c r="E43" s="20">
        <f>'伤害统计(理想)'!E43</f>
        <v>10</v>
      </c>
      <c r="F43" s="20">
        <f>'伤害统计(理想)'!F43</f>
        <v>2</v>
      </c>
      <c r="G43" s="20">
        <f>'伤害统计(理想)'!G43</f>
        <v>0</v>
      </c>
      <c r="H43" s="20">
        <f>'伤害统计(理想)'!H43</f>
        <v>2</v>
      </c>
      <c r="I43" s="20">
        <f>'伤害统计(理想)'!I43</f>
        <v>4</v>
      </c>
      <c r="J43" s="20">
        <f>'伤害统计(理想)'!J43</f>
        <v>0</v>
      </c>
      <c r="K43" s="20">
        <f>'伤害统计(理想)'!K43</f>
        <v>122</v>
      </c>
      <c r="L43" s="20">
        <f>'伤害统计(理想)'!L43</f>
        <v>0</v>
      </c>
      <c r="M43" s="20">
        <f>'伤害统计(理想)'!M43</f>
        <v>0</v>
      </c>
      <c r="N43" s="20">
        <f>'伤害统计(理想)'!N43</f>
        <v>4</v>
      </c>
      <c r="O43" s="20" t="str">
        <f>'伤害统计(理想)'!O43</f>
        <v>颠越苍穹击</v>
      </c>
      <c r="P43" s="20">
        <f>'伤害统计(理想)'!P43</f>
        <v>168</v>
      </c>
      <c r="Q43" s="20">
        <f>'伤害统计(理想)'!Q43</f>
        <v>21612014</v>
      </c>
      <c r="R43" s="20">
        <f>'伤害统计(理想)'!R43</f>
        <v>0.100066291791812</v>
      </c>
      <c r="S43" s="20">
        <f>'伤害统计(理想)'!S43</f>
        <v>0</v>
      </c>
      <c r="T43" s="20">
        <f>'伤害统计(理想)'!T43</f>
        <v>0</v>
      </c>
      <c r="U43" s="20">
        <f>'伤害统计(理想)'!U43</f>
        <v>0</v>
      </c>
      <c r="V43" s="20">
        <f>'伤害统计(理想)'!V43</f>
        <v>0</v>
      </c>
      <c r="W43" s="20">
        <f>'伤害统计(理想)'!W43</f>
        <v>0</v>
      </c>
      <c r="X43" s="20">
        <f>'伤害统计(理想)'!X43</f>
        <v>0</v>
      </c>
      <c r="Y43" s="20">
        <f>'伤害统计(理想)'!Y43</f>
        <v>0</v>
      </c>
      <c r="Z43" s="20">
        <f>'伤害统计(理想)'!Z43</f>
        <v>0</v>
      </c>
      <c r="AA43" s="20">
        <f>'伤害统计(理想)'!AA43</f>
        <v>0</v>
      </c>
      <c r="AB43" s="20">
        <f>'伤害统计(理想)'!AB43</f>
        <v>0</v>
      </c>
      <c r="AC43" s="29"/>
    </row>
    <row r="44" spans="1:29">
      <c r="A44" s="20" t="str">
        <f>'伤害统计(理想)'!A44</f>
        <v>颠越苍穹击</v>
      </c>
      <c r="B44" s="20">
        <f>'伤害统计(理想)'!B44</f>
        <v>28</v>
      </c>
      <c r="C44" s="20">
        <f>'伤害统计(理想)'!C44</f>
        <v>0</v>
      </c>
      <c r="D44" s="20">
        <f>'伤害统计(理想)'!D44</f>
        <v>0</v>
      </c>
      <c r="E44" s="20">
        <f>'伤害统计(理想)'!E44</f>
        <v>100</v>
      </c>
      <c r="F44" s="20">
        <f>'伤害统计(理想)'!F44</f>
        <v>0</v>
      </c>
      <c r="G44" s="20">
        <f>'伤害统计(理想)'!G44</f>
        <v>0</v>
      </c>
      <c r="H44" s="20">
        <f>'伤害统计(理想)'!H44</f>
        <v>0</v>
      </c>
      <c r="I44" s="20">
        <f>'伤害统计(理想)'!I44</f>
        <v>40</v>
      </c>
      <c r="J44" s="20">
        <f>'伤害统计(理想)'!J44</f>
        <v>0</v>
      </c>
      <c r="K44" s="20">
        <f>'伤害统计(理想)'!K44</f>
        <v>168</v>
      </c>
      <c r="L44" s="20">
        <f>'伤害统计(理想)'!L44</f>
        <v>168</v>
      </c>
      <c r="M44" s="20">
        <f>'伤害统计(理想)'!M44</f>
        <v>168</v>
      </c>
      <c r="N44" s="20">
        <f>'伤害统计(理想)'!N44</f>
        <v>5</v>
      </c>
      <c r="O44" s="20" t="str">
        <f>'伤害统计(理想)'!O44</f>
        <v>六合</v>
      </c>
      <c r="P44" s="20">
        <f>'伤害统计(理想)'!P44</f>
        <v>93</v>
      </c>
      <c r="Q44" s="20">
        <f>'伤害统计(理想)'!Q44</f>
        <v>13289482</v>
      </c>
      <c r="R44" s="20">
        <f>'伤害统计(理想)'!R44</f>
        <v>0.0615319416123844</v>
      </c>
      <c r="S44" s="20">
        <f>'伤害统计(理想)'!S44</f>
        <v>0</v>
      </c>
      <c r="T44" s="20">
        <f>'伤害统计(理想)'!T44</f>
        <v>0</v>
      </c>
      <c r="U44" s="20">
        <f>'伤害统计(理想)'!U44</f>
        <v>0</v>
      </c>
      <c r="V44" s="20">
        <f>'伤害统计(理想)'!V44</f>
        <v>0</v>
      </c>
      <c r="W44" s="20">
        <f>'伤害统计(理想)'!W44</f>
        <v>0</v>
      </c>
      <c r="X44" s="20">
        <f>'伤害统计(理想)'!X44</f>
        <v>0</v>
      </c>
      <c r="Y44" s="20">
        <f>'伤害统计(理想)'!Y44</f>
        <v>0</v>
      </c>
      <c r="Z44" s="20">
        <f>'伤害统计(理想)'!Z44</f>
        <v>0</v>
      </c>
      <c r="AA44" s="20">
        <f>'伤害统计(理想)'!AA44</f>
        <v>0</v>
      </c>
      <c r="AB44" s="20">
        <f>'伤害统计(理想)'!AB44</f>
        <v>0</v>
      </c>
      <c r="AC44" s="29"/>
    </row>
    <row r="45" spans="1:29">
      <c r="A45" s="20" t="str">
        <f>'伤害统计(理想)'!A45</f>
        <v>五方行尽</v>
      </c>
      <c r="B45" s="20">
        <f>'伤害统计(理想)'!B45</f>
        <v>7</v>
      </c>
      <c r="C45" s="20">
        <f>'伤害统计(理想)'!C45</f>
        <v>0</v>
      </c>
      <c r="D45" s="20">
        <f>'伤害统计(理想)'!D45</f>
        <v>0</v>
      </c>
      <c r="E45" s="20">
        <f>'伤害统计(理想)'!E45</f>
        <v>0</v>
      </c>
      <c r="F45" s="20">
        <f>'伤害统计(理想)'!F45</f>
        <v>0</v>
      </c>
      <c r="G45" s="20">
        <f>'伤害统计(理想)'!G45</f>
        <v>0</v>
      </c>
      <c r="H45" s="20">
        <f>'伤害统计(理想)'!H45</f>
        <v>0</v>
      </c>
      <c r="I45" s="20">
        <f>'伤害统计(理想)'!I45</f>
        <v>0</v>
      </c>
      <c r="J45" s="20">
        <f>'伤害统计(理想)'!J45</f>
        <v>0</v>
      </c>
      <c r="K45" s="20">
        <f>'伤害统计(理想)'!K45</f>
        <v>7</v>
      </c>
      <c r="L45" s="20">
        <f>'伤害统计(理想)'!L45</f>
        <v>7</v>
      </c>
      <c r="M45" s="20">
        <f>'伤害统计(理想)'!M45</f>
        <v>0</v>
      </c>
      <c r="N45" s="20">
        <f>'伤害统计(理想)'!N45</f>
        <v>6</v>
      </c>
      <c r="O45" s="20" t="str">
        <f>'伤害统计(理想)'!O45</f>
        <v>四象</v>
      </c>
      <c r="P45" s="20">
        <f>'伤害统计(理想)'!P45</f>
        <v>65</v>
      </c>
      <c r="Q45" s="20">
        <f>'伤害统计(理想)'!Q45</f>
        <v>26849390</v>
      </c>
      <c r="R45" s="20">
        <f>'伤害统计(理想)'!R45</f>
        <v>0.124315988975954</v>
      </c>
      <c r="S45" s="20">
        <f>'伤害统计(理想)'!S45</f>
        <v>0</v>
      </c>
      <c r="T45" s="20">
        <f>'伤害统计(理想)'!T45</f>
        <v>0</v>
      </c>
      <c r="U45" s="20">
        <f>'伤害统计(理想)'!U45</f>
        <v>0</v>
      </c>
      <c r="V45" s="20">
        <f>'伤害统计(理想)'!V45</f>
        <v>0</v>
      </c>
      <c r="W45" s="20">
        <f>'伤害统计(理想)'!W45</f>
        <v>0</v>
      </c>
      <c r="X45" s="20">
        <f>'伤害统计(理想)'!X45</f>
        <v>0</v>
      </c>
      <c r="Y45" s="20">
        <f>'伤害统计(理想)'!Y45</f>
        <v>0</v>
      </c>
      <c r="Z45" s="20">
        <f>'伤害统计(理想)'!Z45</f>
        <v>0</v>
      </c>
      <c r="AA45" s="20">
        <f>'伤害统计(理想)'!AA45</f>
        <v>0</v>
      </c>
      <c r="AB45" s="20">
        <f>'伤害统计(理想)'!AB45</f>
        <v>0</v>
      </c>
      <c r="AC45" s="29"/>
    </row>
    <row r="46" spans="1:29">
      <c r="A46" s="20" t="str">
        <f>'伤害统计(理想)'!A46</f>
        <v>四象轮回</v>
      </c>
      <c r="B46" s="20">
        <f>'伤害统计(理想)'!B46</f>
        <v>42</v>
      </c>
      <c r="C46" s="20">
        <f>'伤害统计(理想)'!C46</f>
        <v>0</v>
      </c>
      <c r="D46" s="20">
        <f>'伤害统计(理想)'!D46</f>
        <v>5</v>
      </c>
      <c r="E46" s="20">
        <f>'伤害统计(理想)'!E46</f>
        <v>10</v>
      </c>
      <c r="F46" s="20">
        <f>'伤害统计(理想)'!F46</f>
        <v>2</v>
      </c>
      <c r="G46" s="20">
        <f>'伤害统计(理想)'!G46</f>
        <v>0</v>
      </c>
      <c r="H46" s="20">
        <f>'伤害统计(理想)'!H46</f>
        <v>2</v>
      </c>
      <c r="I46" s="20">
        <f>'伤害统计(理想)'!I46</f>
        <v>4</v>
      </c>
      <c r="J46" s="20">
        <f>'伤害统计(理想)'!J46</f>
        <v>0</v>
      </c>
      <c r="K46" s="20">
        <f>'伤害统计(理想)'!K46</f>
        <v>65</v>
      </c>
      <c r="L46" s="20">
        <f>'伤害统计(理想)'!L46</f>
        <v>65</v>
      </c>
      <c r="M46" s="20">
        <f>'伤害统计(理想)'!M46</f>
        <v>0</v>
      </c>
      <c r="N46" s="20">
        <f>'伤害统计(理想)'!N46</f>
        <v>7</v>
      </c>
      <c r="O46" s="20" t="str">
        <f>'伤害统计(理想)'!O46</f>
        <v>万世不竭</v>
      </c>
      <c r="P46" s="20">
        <f>'伤害统计(理想)'!P46</f>
        <v>7</v>
      </c>
      <c r="Q46" s="20">
        <f>'伤害统计(理想)'!Q46</f>
        <v>4554092</v>
      </c>
      <c r="R46" s="20">
        <f>'伤害统计(理想)'!R46</f>
        <v>0.0210860079453381</v>
      </c>
      <c r="S46" s="20">
        <f>'伤害统计(理想)'!S46</f>
        <v>0</v>
      </c>
      <c r="T46" s="20">
        <f>'伤害统计(理想)'!T46</f>
        <v>0</v>
      </c>
      <c r="U46" s="20">
        <f>'伤害统计(理想)'!U46</f>
        <v>0</v>
      </c>
      <c r="V46" s="20">
        <f>'伤害统计(理想)'!V46</f>
        <v>0</v>
      </c>
      <c r="W46" s="20">
        <f>'伤害统计(理想)'!W46</f>
        <v>0</v>
      </c>
      <c r="X46" s="20">
        <f>'伤害统计(理想)'!X46</f>
        <v>0</v>
      </c>
      <c r="Y46" s="20">
        <f>'伤害统计(理想)'!Y46</f>
        <v>0</v>
      </c>
      <c r="Z46" s="20">
        <f>'伤害统计(理想)'!Z46</f>
        <v>0</v>
      </c>
      <c r="AA46" s="20">
        <f>'伤害统计(理想)'!AA46</f>
        <v>0</v>
      </c>
      <c r="AB46" s="20">
        <f>'伤害统计(理想)'!AB46</f>
        <v>0</v>
      </c>
      <c r="AC46" s="32"/>
    </row>
    <row r="47" spans="1:29">
      <c r="A47" s="20" t="str">
        <f>'伤害统计(理想)'!A47</f>
        <v>两仪化形(5)</v>
      </c>
      <c r="B47" s="20">
        <f>'伤害统计(理想)'!B47</f>
        <v>42</v>
      </c>
      <c r="C47" s="20">
        <f>'伤害统计(理想)'!C47</f>
        <v>0</v>
      </c>
      <c r="D47" s="20">
        <f>'伤害统计(理想)'!D47</f>
        <v>5</v>
      </c>
      <c r="E47" s="20">
        <f>'伤害统计(理想)'!E47</f>
        <v>15</v>
      </c>
      <c r="F47" s="20">
        <f>'伤害统计(理想)'!F47</f>
        <v>2</v>
      </c>
      <c r="G47" s="20">
        <f>'伤害统计(理想)'!G47</f>
        <v>0</v>
      </c>
      <c r="H47" s="20">
        <f>'伤害统计(理想)'!H47</f>
        <v>2</v>
      </c>
      <c r="I47" s="20">
        <f>'伤害统计(理想)'!I47</f>
        <v>6</v>
      </c>
      <c r="J47" s="20">
        <f>'伤害统计(理想)'!J47</f>
        <v>0</v>
      </c>
      <c r="K47" s="20">
        <f>'伤害统计(理想)'!K47</f>
        <v>72</v>
      </c>
      <c r="L47" s="20">
        <f>'伤害统计(理想)'!L47</f>
        <v>84</v>
      </c>
      <c r="M47" s="20">
        <f>'伤害统计(理想)'!M47</f>
        <v>30</v>
      </c>
      <c r="N47" s="20">
        <f>'伤害统计(理想)'!N47</f>
        <v>8</v>
      </c>
      <c r="O47" s="20" t="str">
        <f>'伤害统计(理想)'!O47</f>
        <v>空啸太玄剑</v>
      </c>
      <c r="P47" s="20">
        <f>'伤害统计(理想)'!P47</f>
        <v>0</v>
      </c>
      <c r="Q47" s="20">
        <f>'伤害统计(理想)'!Q47</f>
        <v>0</v>
      </c>
      <c r="R47" s="20">
        <f>'伤害统计(理想)'!R47</f>
        <v>0</v>
      </c>
      <c r="S47" s="20">
        <f>'伤害统计(理想)'!S47</f>
        <v>0</v>
      </c>
      <c r="T47" s="20">
        <f>'伤害统计(理想)'!T47</f>
        <v>0</v>
      </c>
      <c r="U47" s="20">
        <f>'伤害统计(理想)'!U47</f>
        <v>0</v>
      </c>
      <c r="V47" s="20">
        <f>'伤害统计(理想)'!V47</f>
        <v>0</v>
      </c>
      <c r="W47" s="20">
        <f>'伤害统计(理想)'!W47</f>
        <v>0</v>
      </c>
      <c r="X47" s="20">
        <f>'伤害统计(理想)'!X47</f>
        <v>0</v>
      </c>
      <c r="Y47" s="20">
        <f>'伤害统计(理想)'!Y47</f>
        <v>0</v>
      </c>
      <c r="Z47" s="20">
        <f>'伤害统计(理想)'!Z47</f>
        <v>0</v>
      </c>
      <c r="AA47" s="20">
        <f>'伤害统计(理想)'!AA47</f>
        <v>0</v>
      </c>
      <c r="AB47" s="20">
        <f>'伤害统计(理想)'!AB47</f>
        <v>0</v>
      </c>
      <c r="AC47" s="29"/>
    </row>
    <row r="48" spans="1:29">
      <c r="A48" s="20" t="str">
        <f>'伤害统计(理想)'!A48</f>
        <v>两仪化形(4</v>
      </c>
      <c r="B48" s="20">
        <f>'伤害统计(理想)'!B48</f>
        <v>12</v>
      </c>
      <c r="C48" s="20">
        <f>'伤害统计(理想)'!C48</f>
        <v>0</v>
      </c>
      <c r="D48" s="20">
        <f>'伤害统计(理想)'!D48</f>
        <v>0</v>
      </c>
      <c r="E48" s="20">
        <f>'伤害统计(理想)'!E48</f>
        <v>0</v>
      </c>
      <c r="F48" s="20">
        <f>'伤害统计(理想)'!F48</f>
        <v>0</v>
      </c>
      <c r="G48" s="20">
        <f>'伤害统计(理想)'!G48</f>
        <v>0</v>
      </c>
      <c r="H48" s="20">
        <f>'伤害统计(理想)'!H48</f>
        <v>0</v>
      </c>
      <c r="I48" s="20">
        <f>'伤害统计(理想)'!I48</f>
        <v>0</v>
      </c>
      <c r="J48" s="20">
        <f>'伤害统计(理想)'!J48</f>
        <v>0</v>
      </c>
      <c r="K48" s="20">
        <f>'伤害统计(理想)'!K48</f>
        <v>12</v>
      </c>
      <c r="L48" s="20">
        <f>'伤害统计(理想)'!L48</f>
        <v>0</v>
      </c>
      <c r="M48" s="20">
        <f>'伤害统计(理想)'!M48</f>
        <v>0</v>
      </c>
      <c r="N48" s="20">
        <f>'伤害统计(理想)'!N48</f>
        <v>9</v>
      </c>
      <c r="O48" s="20" t="str">
        <f>'伤害统计(理想)'!O48</f>
        <v>白鹤舒翅</v>
      </c>
      <c r="P48" s="20">
        <f>'伤害统计(理想)'!P48</f>
        <v>0</v>
      </c>
      <c r="Q48" s="20">
        <f>'伤害统计(理想)'!Q48</f>
        <v>0</v>
      </c>
      <c r="R48" s="20">
        <f>'伤害统计(理想)'!R48</f>
        <v>0</v>
      </c>
      <c r="S48" s="20">
        <f>'伤害统计(理想)'!S48</f>
        <v>0</v>
      </c>
      <c r="T48" s="20">
        <f>'伤害统计(理想)'!T48</f>
        <v>0</v>
      </c>
      <c r="U48" s="20">
        <f>'伤害统计(理想)'!U48</f>
        <v>0</v>
      </c>
      <c r="V48" s="20">
        <f>'伤害统计(理想)'!V48</f>
        <v>0</v>
      </c>
      <c r="W48" s="20">
        <f>'伤害统计(理想)'!W48</f>
        <v>0</v>
      </c>
      <c r="X48" s="20">
        <f>'伤害统计(理想)'!X48</f>
        <v>0</v>
      </c>
      <c r="Y48" s="20">
        <f>'伤害统计(理想)'!Y48</f>
        <v>0</v>
      </c>
      <c r="Z48" s="20">
        <f>'伤害统计(理想)'!Z48</f>
        <v>0</v>
      </c>
      <c r="AA48" s="20">
        <f>'伤害统计(理想)'!AA48</f>
        <v>0</v>
      </c>
      <c r="AB48" s="20">
        <f>'伤害统计(理想)'!AB48</f>
        <v>0</v>
      </c>
      <c r="AC48" s="29"/>
    </row>
    <row r="49" ht="17.25" spans="1:39">
      <c r="A49" s="20" t="str">
        <f>'伤害统计(理想)'!A49</f>
        <v>两仪化形(3.5</v>
      </c>
      <c r="B49" s="20">
        <f>'伤害统计(理想)'!B49</f>
        <v>0</v>
      </c>
      <c r="C49" s="20">
        <f>'伤害统计(理想)'!C49</f>
        <v>0</v>
      </c>
      <c r="D49" s="20">
        <f>'伤害统计(理想)'!D49</f>
        <v>0</v>
      </c>
      <c r="E49" s="20">
        <f>'伤害统计(理想)'!E49</f>
        <v>0</v>
      </c>
      <c r="F49" s="20">
        <f>'伤害统计(理想)'!F49</f>
        <v>0</v>
      </c>
      <c r="G49" s="20">
        <f>'伤害统计(理想)'!G49</f>
        <v>0</v>
      </c>
      <c r="H49" s="20">
        <f>'伤害统计(理想)'!H49</f>
        <v>0</v>
      </c>
      <c r="I49" s="20">
        <f>'伤害统计(理想)'!I49</f>
        <v>0</v>
      </c>
      <c r="J49" s="20">
        <f>'伤害统计(理想)'!J49</f>
        <v>0</v>
      </c>
      <c r="K49" s="20">
        <f>'伤害统计(理想)'!K49</f>
        <v>0</v>
      </c>
      <c r="L49" s="20">
        <f>'伤害统计(理想)'!L49</f>
        <v>0</v>
      </c>
      <c r="M49" s="20">
        <f>'伤害统计(理想)'!M49</f>
        <v>0</v>
      </c>
      <c r="N49" s="20">
        <f>'伤害统计(理想)'!N49</f>
        <v>10</v>
      </c>
      <c r="O49" s="20" t="str">
        <f>'伤害统计(理想)'!O49</f>
        <v>厚亡</v>
      </c>
      <c r="P49" s="20">
        <f>'伤害统计(理想)'!P49</f>
        <v>0</v>
      </c>
      <c r="Q49" s="20">
        <f>'伤害统计(理想)'!Q49</f>
        <v>0</v>
      </c>
      <c r="R49" s="20">
        <f>'伤害统计(理想)'!R49</f>
        <v>0</v>
      </c>
      <c r="S49" s="20">
        <f>'伤害统计(理想)'!S49</f>
        <v>0</v>
      </c>
      <c r="T49" s="20">
        <f>'伤害统计(理想)'!T49</f>
        <v>0</v>
      </c>
      <c r="U49" s="20">
        <f>'伤害统计(理想)'!U49</f>
        <v>0</v>
      </c>
      <c r="V49" s="20">
        <f>'伤害统计(理想)'!V49</f>
        <v>0</v>
      </c>
      <c r="W49" s="20">
        <f>'伤害统计(理想)'!W49</f>
        <v>0</v>
      </c>
      <c r="X49" s="20">
        <f>'伤害统计(理想)'!X49</f>
        <v>0</v>
      </c>
      <c r="Y49" s="20">
        <f>'伤害统计(理想)'!Y49</f>
        <v>0</v>
      </c>
      <c r="Z49" s="20">
        <f>'伤害统计(理想)'!Z49</f>
        <v>0</v>
      </c>
      <c r="AA49" s="20">
        <f>'伤害统计(理想)'!AA49</f>
        <v>0</v>
      </c>
      <c r="AB49" s="20">
        <f>'伤害统计(理想)'!AB49</f>
        <v>0</v>
      </c>
      <c r="AC49" s="29"/>
      <c r="AE49" s="33"/>
      <c r="AF49" s="33"/>
      <c r="AG49" s="33"/>
      <c r="AH49" s="34"/>
      <c r="AI49" s="34"/>
      <c r="AJ49" s="34"/>
      <c r="AK49" s="34"/>
      <c r="AL49" s="34"/>
      <c r="AM49" s="34"/>
    </row>
    <row r="50" spans="1:29">
      <c r="A50" s="20" t="str">
        <f>'伤害统计(理想)'!A50</f>
        <v>六合1</v>
      </c>
      <c r="B50" s="20">
        <f>'伤害统计(理想)'!B50</f>
        <v>13</v>
      </c>
      <c r="C50" s="20">
        <f>'伤害统计(理想)'!C50</f>
        <v>0</v>
      </c>
      <c r="D50" s="20">
        <f>'伤害统计(理想)'!D50</f>
        <v>0</v>
      </c>
      <c r="E50" s="20">
        <f>'伤害统计(理想)'!E50</f>
        <v>0</v>
      </c>
      <c r="F50" s="20">
        <f>'伤害统计(理想)'!F50</f>
        <v>0</v>
      </c>
      <c r="G50" s="20">
        <f>'伤害统计(理想)'!G50</f>
        <v>0</v>
      </c>
      <c r="H50" s="20">
        <f>'伤害统计(理想)'!H50</f>
        <v>0</v>
      </c>
      <c r="I50" s="20">
        <f>'伤害统计(理想)'!I50</f>
        <v>0</v>
      </c>
      <c r="J50" s="20">
        <f>'伤害统计(理想)'!J50</f>
        <v>28</v>
      </c>
      <c r="K50" s="20">
        <f>'伤害统计(理想)'!K50</f>
        <v>41</v>
      </c>
      <c r="L50" s="20">
        <f>'伤害统计(理想)'!L50</f>
        <v>93</v>
      </c>
      <c r="M50" s="20">
        <f>'伤害统计(理想)'!M50</f>
        <v>65</v>
      </c>
      <c r="N50" s="20">
        <f>'伤害统计(理想)'!N50</f>
        <v>11</v>
      </c>
      <c r="O50" s="20" t="str">
        <f>'伤害统计(理想)'!O50</f>
        <v>昆吾·弦刃</v>
      </c>
      <c r="P50" s="20">
        <f>'伤害统计(理想)'!P50</f>
        <v>16</v>
      </c>
      <c r="Q50" s="20">
        <f>'伤害统计(理想)'!Q50</f>
        <v>810667</v>
      </c>
      <c r="R50" s="20">
        <f>'伤害统计(理想)'!R50</f>
        <v>0.00375348824815646</v>
      </c>
      <c r="S50" s="20">
        <f>'伤害统计(理想)'!S50</f>
        <v>0</v>
      </c>
      <c r="T50" s="20">
        <f>'伤害统计(理想)'!T50</f>
        <v>0</v>
      </c>
      <c r="U50" s="20">
        <f>'伤害统计(理想)'!U50</f>
        <v>0</v>
      </c>
      <c r="V50" s="20">
        <f>'伤害统计(理想)'!V50</f>
        <v>0</v>
      </c>
      <c r="W50" s="20">
        <f>'伤害统计(理想)'!W50</f>
        <v>0</v>
      </c>
      <c r="X50" s="20">
        <f>'伤害统计(理想)'!X50</f>
        <v>0</v>
      </c>
      <c r="Y50" s="20">
        <f>'伤害统计(理想)'!Y50</f>
        <v>0</v>
      </c>
      <c r="Z50" s="20">
        <f>'伤害统计(理想)'!Z50</f>
        <v>0</v>
      </c>
      <c r="AA50" s="20">
        <f>'伤害统计(理想)'!AA50</f>
        <v>0</v>
      </c>
      <c r="AB50" s="20">
        <f>'伤害统计(理想)'!AB50</f>
        <v>0</v>
      </c>
      <c r="AC50" s="29"/>
    </row>
    <row r="51" spans="1:31">
      <c r="A51" s="20" t="str">
        <f>'伤害统计(理想)'!A51</f>
        <v>六合2</v>
      </c>
      <c r="B51" s="20">
        <f>'伤害统计(理想)'!B51</f>
        <v>6</v>
      </c>
      <c r="C51" s="20">
        <f>'伤害统计(理想)'!C51</f>
        <v>0</v>
      </c>
      <c r="D51" s="20">
        <f>'伤害统计(理想)'!D51</f>
        <v>0</v>
      </c>
      <c r="E51" s="20">
        <f>'伤害统计(理想)'!E51</f>
        <v>5</v>
      </c>
      <c r="F51" s="20">
        <f>'伤害统计(理想)'!F51</f>
        <v>0</v>
      </c>
      <c r="G51" s="20">
        <f>'伤害统计(理想)'!G51</f>
        <v>0</v>
      </c>
      <c r="H51" s="20">
        <f>'伤害统计(理想)'!H51</f>
        <v>0</v>
      </c>
      <c r="I51" s="20">
        <f>'伤害统计(理想)'!I51</f>
        <v>2</v>
      </c>
      <c r="J51" s="20">
        <f>'伤害统计(理想)'!J51</f>
        <v>0</v>
      </c>
      <c r="K51" s="20">
        <f>'伤害统计(理想)'!K51</f>
        <v>13</v>
      </c>
      <c r="L51" s="20">
        <f>'伤害统计(理想)'!L51</f>
        <v>0</v>
      </c>
      <c r="M51" s="20">
        <f>'伤害统计(理想)'!M51</f>
        <v>0</v>
      </c>
      <c r="N51" s="20">
        <f>'伤害统计(理想)'!N51</f>
        <v>12</v>
      </c>
      <c r="O51" s="20" t="str">
        <f>'伤害统计(理想)'!O51</f>
        <v>空啸太玄剑·定</v>
      </c>
      <c r="P51" s="20">
        <f>'伤害统计(理想)'!P51</f>
        <v>0</v>
      </c>
      <c r="Q51" s="20">
        <f>'伤害统计(理想)'!Q51</f>
        <v>0</v>
      </c>
      <c r="R51" s="20">
        <f>'伤害统计(理想)'!R51</f>
        <v>0</v>
      </c>
      <c r="S51" s="20">
        <f>'伤害统计(理想)'!S51</f>
        <v>0</v>
      </c>
      <c r="T51" s="20">
        <f>'伤害统计(理想)'!T51</f>
        <v>0</v>
      </c>
      <c r="U51" s="20">
        <f>'伤害统计(理想)'!U51</f>
        <v>0</v>
      </c>
      <c r="V51" s="20">
        <f>'伤害统计(理想)'!V51</f>
        <v>0</v>
      </c>
      <c r="W51" s="20">
        <f>'伤害统计(理想)'!W51</f>
        <v>0</v>
      </c>
      <c r="X51" s="20">
        <f>'伤害统计(理想)'!X51</f>
        <v>0</v>
      </c>
      <c r="Y51" s="20">
        <f>'伤害统计(理想)'!Y51</f>
        <v>0</v>
      </c>
      <c r="Z51" s="20">
        <f>'伤害统计(理想)'!Z51</f>
        <v>0</v>
      </c>
      <c r="AA51" s="20">
        <f>'伤害统计(理想)'!AA51</f>
        <v>0</v>
      </c>
      <c r="AB51" s="20">
        <f>'伤害统计(理想)'!AB51</f>
        <v>0</v>
      </c>
      <c r="AC51" s="29"/>
      <c r="AE51" s="33"/>
    </row>
    <row r="52" spans="1:29">
      <c r="A52" s="20" t="str">
        <f>'伤害统计(理想)'!A52</f>
        <v>六合3</v>
      </c>
      <c r="B52" s="20">
        <f>'伤害统计(理想)'!B52</f>
        <v>6</v>
      </c>
      <c r="C52" s="20">
        <f>'伤害统计(理想)'!C52</f>
        <v>0</v>
      </c>
      <c r="D52" s="20">
        <f>'伤害统计(理想)'!D52</f>
        <v>0</v>
      </c>
      <c r="E52" s="20">
        <f>'伤害统计(理想)'!E52</f>
        <v>5</v>
      </c>
      <c r="F52" s="20">
        <f>'伤害统计(理想)'!F52</f>
        <v>0</v>
      </c>
      <c r="G52" s="20">
        <f>'伤害统计(理想)'!G52</f>
        <v>0</v>
      </c>
      <c r="H52" s="20">
        <f>'伤害统计(理想)'!H52</f>
        <v>0</v>
      </c>
      <c r="I52" s="20">
        <f>'伤害统计(理想)'!I52</f>
        <v>2</v>
      </c>
      <c r="J52" s="20">
        <f>'伤害统计(理想)'!J52</f>
        <v>0</v>
      </c>
      <c r="K52" s="20">
        <f>'伤害统计(理想)'!K52</f>
        <v>13</v>
      </c>
      <c r="L52" s="20">
        <f>'伤害统计(理想)'!L52</f>
        <v>0</v>
      </c>
      <c r="M52" s="20">
        <f>'伤害统计(理想)'!M52</f>
        <v>0</v>
      </c>
      <c r="N52" s="20">
        <f>'伤害统计(理想)'!N52</f>
        <v>13</v>
      </c>
      <c r="O52" s="20" t="str">
        <f>'伤害统计(理想)'!O52</f>
        <v>刃凌</v>
      </c>
      <c r="P52" s="20">
        <f>'伤害统计(理想)'!P52</f>
        <v>23</v>
      </c>
      <c r="Q52" s="20">
        <f>'伤害统计(理想)'!Q52</f>
        <v>732384</v>
      </c>
      <c r="R52" s="20">
        <f>'伤害统计(理想)'!R52</f>
        <v>0.00339102829785575</v>
      </c>
      <c r="S52" s="20">
        <f>'伤害统计(理想)'!S52</f>
        <v>0</v>
      </c>
      <c r="T52" s="20">
        <f>'伤害统计(理想)'!T52</f>
        <v>0</v>
      </c>
      <c r="U52" s="20">
        <f>'伤害统计(理想)'!U52</f>
        <v>0</v>
      </c>
      <c r="V52" s="20">
        <f>'伤害统计(理想)'!V52</f>
        <v>0</v>
      </c>
      <c r="W52" s="20">
        <f>'伤害统计(理想)'!W52</f>
        <v>0</v>
      </c>
      <c r="X52" s="20">
        <f>'伤害统计(理想)'!X52</f>
        <v>0</v>
      </c>
      <c r="Y52" s="20">
        <f>'伤害统计(理想)'!Y52</f>
        <v>0</v>
      </c>
      <c r="Z52" s="20">
        <f>'伤害统计(理想)'!Z52</f>
        <v>0</v>
      </c>
      <c r="AA52" s="20">
        <f>'伤害统计(理想)'!AA52</f>
        <v>0</v>
      </c>
      <c r="AB52" s="20">
        <f>'伤害统计(理想)'!AB52</f>
        <v>0</v>
      </c>
      <c r="AC52" s="29"/>
    </row>
    <row r="53" spans="1:31">
      <c r="A53" s="20" t="str">
        <f>'伤害统计(理想)'!A53</f>
        <v>六合4</v>
      </c>
      <c r="B53" s="20">
        <f>'伤害统计(理想)'!B53</f>
        <v>6</v>
      </c>
      <c r="C53" s="20">
        <f>'伤害统计(理想)'!C53</f>
        <v>0</v>
      </c>
      <c r="D53" s="20">
        <f>'伤害统计(理想)'!D53</f>
        <v>0</v>
      </c>
      <c r="E53" s="20">
        <f>'伤害统计(理想)'!E53</f>
        <v>5</v>
      </c>
      <c r="F53" s="20">
        <f>'伤害统计(理想)'!F53</f>
        <v>0</v>
      </c>
      <c r="G53" s="20">
        <f>'伤害统计(理想)'!G53</f>
        <v>0</v>
      </c>
      <c r="H53" s="20">
        <f>'伤害统计(理想)'!H53</f>
        <v>0</v>
      </c>
      <c r="I53" s="20">
        <f>'伤害统计(理想)'!I53</f>
        <v>2</v>
      </c>
      <c r="J53" s="20">
        <f>'伤害统计(理想)'!J53</f>
        <v>0</v>
      </c>
      <c r="K53" s="20">
        <f>'伤害统计(理想)'!K53</f>
        <v>13</v>
      </c>
      <c r="L53" s="20">
        <f>'伤害统计(理想)'!L53</f>
        <v>0</v>
      </c>
      <c r="M53" s="20">
        <f>'伤害统计(理想)'!M53</f>
        <v>0</v>
      </c>
      <c r="N53" s="20">
        <f>'伤害统计(理想)'!N53</f>
        <v>14</v>
      </c>
      <c r="O53" s="20" t="str">
        <f>'伤害统计(理想)'!O53</f>
        <v>五方行尽</v>
      </c>
      <c r="P53" s="20">
        <f>'伤害统计(理想)'!P53</f>
        <v>7</v>
      </c>
      <c r="Q53" s="20">
        <f>'伤害统计(理想)'!Q53</f>
        <v>370682</v>
      </c>
      <c r="R53" s="20">
        <f>'伤害统计(理想)'!R53</f>
        <v>0.00171630340300411</v>
      </c>
      <c r="S53" s="20">
        <f>'伤害统计(理想)'!S53</f>
        <v>0</v>
      </c>
      <c r="T53" s="20">
        <f>'伤害统计(理想)'!T53</f>
        <v>0</v>
      </c>
      <c r="U53" s="20">
        <f>'伤害统计(理想)'!U53</f>
        <v>0</v>
      </c>
      <c r="V53" s="20">
        <f>'伤害统计(理想)'!V53</f>
        <v>0</v>
      </c>
      <c r="W53" s="20">
        <f>'伤害统计(理想)'!W53</f>
        <v>0</v>
      </c>
      <c r="X53" s="20">
        <f>'伤害统计(理想)'!X53</f>
        <v>0</v>
      </c>
      <c r="Y53" s="20">
        <f>'伤害统计(理想)'!Y53</f>
        <v>0</v>
      </c>
      <c r="Z53" s="20">
        <f>'伤害统计(理想)'!Z53</f>
        <v>0</v>
      </c>
      <c r="AA53" s="20">
        <f>'伤害统计(理想)'!AA53</f>
        <v>0</v>
      </c>
      <c r="AB53" s="20">
        <f>'伤害统计(理想)'!AB53</f>
        <v>0</v>
      </c>
      <c r="AC53" s="29"/>
      <c r="AE53" s="33"/>
    </row>
    <row r="54" spans="1:29">
      <c r="A54" s="20" t="str">
        <f>'伤害统计(理想)'!A54</f>
        <v>六合5</v>
      </c>
      <c r="B54" s="20">
        <f>'伤害统计(理想)'!B54</f>
        <v>6</v>
      </c>
      <c r="C54" s="20">
        <f>'伤害统计(理想)'!C54</f>
        <v>0</v>
      </c>
      <c r="D54" s="20">
        <f>'伤害统计(理想)'!D54</f>
        <v>0</v>
      </c>
      <c r="E54" s="20">
        <f>'伤害统计(理想)'!E54</f>
        <v>5</v>
      </c>
      <c r="F54" s="20">
        <f>'伤害统计(理想)'!F54</f>
        <v>0</v>
      </c>
      <c r="G54" s="20">
        <f>'伤害统计(理想)'!G54</f>
        <v>0</v>
      </c>
      <c r="H54" s="20">
        <f>'伤害统计(理想)'!H54</f>
        <v>0</v>
      </c>
      <c r="I54" s="20">
        <f>'伤害统计(理想)'!I54</f>
        <v>2</v>
      </c>
      <c r="J54" s="20">
        <f>'伤害统计(理想)'!J54</f>
        <v>0</v>
      </c>
      <c r="K54" s="20">
        <f>'伤害统计(理想)'!K54</f>
        <v>13</v>
      </c>
      <c r="L54" s="20">
        <f>'伤害统计(理想)'!L54</f>
        <v>0</v>
      </c>
      <c r="M54" s="20">
        <f>'伤害统计(理想)'!M54</f>
        <v>0</v>
      </c>
      <c r="N54" s="20">
        <f>'伤害统计(理想)'!N54</f>
        <v>15</v>
      </c>
      <c r="O54" s="20" t="str">
        <f>'伤害统计(理想)'!O54</f>
        <v>三才化生</v>
      </c>
      <c r="P54" s="20">
        <f>'伤害统计(理想)'!P54</f>
        <v>14</v>
      </c>
      <c r="Q54" s="20">
        <f>'伤害统计(理想)'!Q54</f>
        <v>110917</v>
      </c>
      <c r="R54" s="20">
        <f>'伤害统计(理想)'!R54</f>
        <v>0.000513559397410738</v>
      </c>
      <c r="S54" s="20">
        <f>'伤害统计(理想)'!S54</f>
        <v>0</v>
      </c>
      <c r="T54" s="20">
        <f>'伤害统计(理想)'!T54</f>
        <v>0</v>
      </c>
      <c r="U54" s="20">
        <f>'伤害统计(理想)'!U54</f>
        <v>0</v>
      </c>
      <c r="V54" s="20">
        <f>'伤害统计(理想)'!V54</f>
        <v>0</v>
      </c>
      <c r="W54" s="20">
        <f>'伤害统计(理想)'!W54</f>
        <v>0</v>
      </c>
      <c r="X54" s="20">
        <f>'伤害统计(理想)'!X54</f>
        <v>0</v>
      </c>
      <c r="Y54" s="20">
        <f>'伤害统计(理想)'!Y54</f>
        <v>0</v>
      </c>
      <c r="Z54" s="20">
        <f>'伤害统计(理想)'!Z54</f>
        <v>0</v>
      </c>
      <c r="AA54" s="20">
        <f>'伤害统计(理想)'!AA54</f>
        <v>0</v>
      </c>
      <c r="AB54" s="20">
        <f>'伤害统计(理想)'!AB54</f>
        <v>0</v>
      </c>
      <c r="AC54" s="29"/>
    </row>
    <row r="55" spans="1:31">
      <c r="A55" s="20" t="str">
        <f>'伤害统计(理想)'!A55</f>
        <v>破</v>
      </c>
      <c r="B55" s="20">
        <f>'伤害统计(理想)'!B55</f>
        <v>54</v>
      </c>
      <c r="C55" s="20">
        <f>'伤害统计(理想)'!C55</f>
        <v>0</v>
      </c>
      <c r="D55" s="20">
        <f>'伤害统计(理想)'!D55</f>
        <v>5</v>
      </c>
      <c r="E55" s="20">
        <f>'伤害统计(理想)'!E55</f>
        <v>15</v>
      </c>
      <c r="F55" s="20">
        <f>'伤害统计(理想)'!F55</f>
        <v>2</v>
      </c>
      <c r="G55" s="20">
        <f>'伤害统计(理想)'!G55</f>
        <v>0</v>
      </c>
      <c r="H55" s="20">
        <f>'伤害统计(理想)'!H55</f>
        <v>2</v>
      </c>
      <c r="I55" s="20">
        <f>'伤害统计(理想)'!I55</f>
        <v>6</v>
      </c>
      <c r="J55" s="20">
        <f>'伤害统计(理想)'!J55</f>
        <v>0</v>
      </c>
      <c r="K55" s="20">
        <f>'伤害统计(理想)'!K55</f>
        <v>84</v>
      </c>
      <c r="L55" s="20">
        <f>'伤害统计(理想)'!L55</f>
        <v>91</v>
      </c>
      <c r="M55" s="20">
        <f>'伤害统计(理想)'!M55</f>
        <v>0</v>
      </c>
      <c r="N55" s="20">
        <f>'伤害统计(理想)'!N55</f>
        <v>16</v>
      </c>
      <c r="O55" s="20" t="str">
        <f>'伤害统计(理想)'!O55</f>
        <v>气竭(DOT)</v>
      </c>
      <c r="P55" s="20">
        <f>'伤害统计(理想)'!P55</f>
        <v>0</v>
      </c>
      <c r="Q55" s="20">
        <f>'伤害统计(理想)'!Q55</f>
        <v>0</v>
      </c>
      <c r="R55" s="20">
        <f>'伤害统计(理想)'!R55</f>
        <v>0</v>
      </c>
      <c r="S55" s="20">
        <f>'伤害统计(理想)'!S55</f>
        <v>0</v>
      </c>
      <c r="T55" s="20">
        <f>'伤害统计(理想)'!T55</f>
        <v>0</v>
      </c>
      <c r="U55" s="20">
        <f>'伤害统计(理想)'!U55</f>
        <v>0</v>
      </c>
      <c r="V55" s="20">
        <f>'伤害统计(理想)'!V55</f>
        <v>0</v>
      </c>
      <c r="W55" s="20">
        <f>'伤害统计(理想)'!W55</f>
        <v>0</v>
      </c>
      <c r="X55" s="20">
        <f>'伤害统计(理想)'!X55</f>
        <v>0</v>
      </c>
      <c r="Y55" s="20">
        <f>'伤害统计(理想)'!Y55</f>
        <v>0</v>
      </c>
      <c r="Z55" s="20">
        <f>'伤害统计(理想)'!Z55</f>
        <v>0</v>
      </c>
      <c r="AA55" s="20">
        <f>'伤害统计(理想)'!AA55</f>
        <v>0</v>
      </c>
      <c r="AB55" s="20">
        <f>'伤害统计(理想)'!AB55</f>
        <v>0</v>
      </c>
      <c r="AC55" s="29"/>
      <c r="AE55" s="33"/>
    </row>
    <row r="56" spans="1:29">
      <c r="A56" s="20" t="str">
        <f>'伤害统计(理想)'!A56</f>
        <v>破(4</v>
      </c>
      <c r="B56" s="20">
        <f>'伤害统计(理想)'!B56</f>
        <v>0</v>
      </c>
      <c r="C56" s="20">
        <f>'伤害统计(理想)'!C56</f>
        <v>0</v>
      </c>
      <c r="D56" s="20">
        <f>'伤害统计(理想)'!D56</f>
        <v>0</v>
      </c>
      <c r="E56" s="20">
        <f>'伤害统计(理想)'!E56</f>
        <v>0</v>
      </c>
      <c r="F56" s="20">
        <f>'伤害统计(理想)'!F56</f>
        <v>0</v>
      </c>
      <c r="G56" s="20">
        <f>'伤害统计(理想)'!G56</f>
        <v>0</v>
      </c>
      <c r="H56" s="20">
        <f>'伤害统计(理想)'!H56</f>
        <v>0</v>
      </c>
      <c r="I56" s="20">
        <f>'伤害统计(理想)'!I56</f>
        <v>0</v>
      </c>
      <c r="J56" s="20">
        <f>'伤害统计(理想)'!J56</f>
        <v>0</v>
      </c>
      <c r="K56" s="20">
        <f>'伤害统计(理想)'!K56</f>
        <v>0</v>
      </c>
      <c r="L56" s="20">
        <f>'伤害统计(理想)'!L56</f>
        <v>0</v>
      </c>
      <c r="M56" s="20">
        <f>'伤害统计(理想)'!M56</f>
        <v>0</v>
      </c>
      <c r="N56" s="20">
        <f>'伤害统计(理想)'!N56</f>
        <v>17</v>
      </c>
      <c r="O56" s="20" t="str">
        <f>'伤害统计(理想)'!O56</f>
        <v>星辰</v>
      </c>
      <c r="P56" s="20">
        <f>'伤害统计(理想)'!P56</f>
        <v>0</v>
      </c>
      <c r="Q56" s="20">
        <f>'伤害统计(理想)'!Q56</f>
        <v>0</v>
      </c>
      <c r="R56" s="20">
        <f>'伤害统计(理想)'!R56</f>
        <v>0</v>
      </c>
      <c r="S56" s="20">
        <f>'伤害统计(理想)'!S56</f>
        <v>0</v>
      </c>
      <c r="T56" s="20">
        <f>'伤害统计(理想)'!T56</f>
        <v>0</v>
      </c>
      <c r="U56" s="20">
        <f>'伤害统计(理想)'!U56</f>
        <v>0</v>
      </c>
      <c r="V56" s="20">
        <f>'伤害统计(理想)'!V56</f>
        <v>0</v>
      </c>
      <c r="W56" s="20">
        <f>'伤害统计(理想)'!W56</f>
        <v>0</v>
      </c>
      <c r="X56" s="20">
        <f>'伤害统计(理想)'!X56</f>
        <v>0</v>
      </c>
      <c r="Y56" s="20">
        <f>'伤害统计(理想)'!Y56</f>
        <v>0</v>
      </c>
      <c r="Z56" s="20">
        <f>'伤害统计(理想)'!Z56</f>
        <v>0</v>
      </c>
      <c r="AA56" s="20">
        <f>'伤害统计(理想)'!AA56</f>
        <v>0</v>
      </c>
      <c r="AB56" s="20">
        <f>'伤害统计(理想)'!AB56</f>
        <v>0</v>
      </c>
      <c r="AC56" s="29"/>
    </row>
    <row r="57" spans="1:29">
      <c r="A57" s="20" t="str">
        <f>'伤害统计(理想)'!A57</f>
        <v>破(万世二段</v>
      </c>
      <c r="B57" s="20">
        <f>'伤害统计(理想)'!B57</f>
        <v>7</v>
      </c>
      <c r="C57" s="20">
        <f>'伤害统计(理想)'!C57</f>
        <v>0</v>
      </c>
      <c r="D57" s="20">
        <f>'伤害统计(理想)'!D57</f>
        <v>0</v>
      </c>
      <c r="E57" s="20">
        <f>'伤害统计(理想)'!E57</f>
        <v>0</v>
      </c>
      <c r="F57" s="20">
        <f>'伤害统计(理想)'!F57</f>
        <v>0</v>
      </c>
      <c r="G57" s="20">
        <f>'伤害统计(理想)'!G57</f>
        <v>0</v>
      </c>
      <c r="H57" s="20">
        <f>'伤害统计(理想)'!H57</f>
        <v>0</v>
      </c>
      <c r="I57" s="20">
        <f>'伤害统计(理想)'!I57</f>
        <v>0</v>
      </c>
      <c r="J57" s="20">
        <f>'伤害统计(理想)'!J57</f>
        <v>0</v>
      </c>
      <c r="K57" s="20">
        <f>'伤害统计(理想)'!K57</f>
        <v>7</v>
      </c>
      <c r="L57" s="20">
        <f>'伤害统计(理想)'!L57</f>
        <v>0</v>
      </c>
      <c r="M57" s="20">
        <f>'伤害统计(理想)'!M57</f>
        <v>0</v>
      </c>
      <c r="N57" s="20">
        <f>'伤害统计(理想)'!N57</f>
        <v>18</v>
      </c>
      <c r="O57" s="20" t="str">
        <f>'伤害统计(理想)'!O57</f>
        <v>四象轮回·神兵</v>
      </c>
      <c r="P57" s="20">
        <f>'伤害统计(理想)'!P57</f>
        <v>0</v>
      </c>
      <c r="Q57" s="20">
        <f>'伤害统计(理想)'!Q57</f>
        <v>0</v>
      </c>
      <c r="R57" s="20">
        <f>'伤害统计(理想)'!R57</f>
        <v>0</v>
      </c>
      <c r="S57" s="20">
        <f>'伤害统计(理想)'!S57</f>
        <v>0</v>
      </c>
      <c r="T57" s="20">
        <f>'伤害统计(理想)'!T57</f>
        <v>0</v>
      </c>
      <c r="U57" s="20">
        <f>'伤害统计(理想)'!U57</f>
        <v>0</v>
      </c>
      <c r="V57" s="20">
        <f>'伤害统计(理想)'!V57</f>
        <v>0</v>
      </c>
      <c r="W57" s="20">
        <f>'伤害统计(理想)'!W57</f>
        <v>0</v>
      </c>
      <c r="X57" s="20">
        <f>'伤害统计(理想)'!X57</f>
        <v>0</v>
      </c>
      <c r="Y57" s="20">
        <f>'伤害统计(理想)'!Y57</f>
        <v>0</v>
      </c>
      <c r="Z57" s="20">
        <f>'伤害统计(理想)'!Z57</f>
        <v>0</v>
      </c>
      <c r="AA57" s="20">
        <f>'伤害统计(理想)'!AA57</f>
        <v>0</v>
      </c>
      <c r="AB57" s="20">
        <f>'伤害统计(理想)'!AB57</f>
        <v>0</v>
      </c>
      <c r="AC57" s="29"/>
    </row>
    <row r="58" spans="1:29">
      <c r="A58" s="20" t="str">
        <f>'伤害统计(理想)'!A58</f>
        <v>三才化生</v>
      </c>
      <c r="B58" s="20">
        <f>'伤害统计(理想)'!B58</f>
        <v>14</v>
      </c>
      <c r="C58" s="20">
        <f>'伤害统计(理想)'!C58</f>
        <v>0</v>
      </c>
      <c r="D58" s="20">
        <f>'伤害统计(理想)'!D58</f>
        <v>0</v>
      </c>
      <c r="E58" s="20">
        <f>'伤害统计(理想)'!E58</f>
        <v>0</v>
      </c>
      <c r="F58" s="20">
        <f>'伤害统计(理想)'!F58</f>
        <v>0</v>
      </c>
      <c r="G58" s="20">
        <f>'伤害统计(理想)'!G58</f>
        <v>0</v>
      </c>
      <c r="H58" s="20">
        <f>'伤害统计(理想)'!H58</f>
        <v>0</v>
      </c>
      <c r="I58" s="20">
        <f>'伤害统计(理想)'!I58</f>
        <v>0</v>
      </c>
      <c r="J58" s="20">
        <f>'伤害统计(理想)'!J58</f>
        <v>0</v>
      </c>
      <c r="K58" s="20">
        <f>'伤害统计(理想)'!K58</f>
        <v>14</v>
      </c>
      <c r="L58" s="20">
        <f>'伤害统计(理想)'!L58</f>
        <v>14</v>
      </c>
      <c r="M58" s="20">
        <f>'伤害统计(理想)'!M58</f>
        <v>0</v>
      </c>
      <c r="N58" s="20">
        <f>'伤害统计(理想)'!N58</f>
        <v>0</v>
      </c>
      <c r="O58" s="20">
        <f>'伤害统计(理想)'!O58</f>
        <v>0</v>
      </c>
      <c r="P58" s="20">
        <f>'伤害统计(理想)'!P58</f>
        <v>0</v>
      </c>
      <c r="Q58" s="20">
        <f>'伤害统计(理想)'!Q58</f>
        <v>0</v>
      </c>
      <c r="R58" s="20">
        <f>'伤害统计(理想)'!R58</f>
        <v>0</v>
      </c>
      <c r="S58" s="20">
        <f>'伤害统计(理想)'!S58</f>
        <v>0</v>
      </c>
      <c r="T58" s="20">
        <f>'伤害统计(理想)'!T58</f>
        <v>0</v>
      </c>
      <c r="U58" s="20">
        <f>'伤害统计(理想)'!U58</f>
        <v>0</v>
      </c>
      <c r="V58" s="20">
        <f>'伤害统计(理想)'!V58</f>
        <v>0</v>
      </c>
      <c r="W58" s="20">
        <f>'伤害统计(理想)'!W58</f>
        <v>0</v>
      </c>
      <c r="X58" s="20">
        <f>'伤害统计(理想)'!X58</f>
        <v>0</v>
      </c>
      <c r="Y58" s="20">
        <f>'伤害统计(理想)'!Y58</f>
        <v>0</v>
      </c>
      <c r="Z58" s="20">
        <f>'伤害统计(理想)'!Z58</f>
        <v>0</v>
      </c>
      <c r="AA58" s="20">
        <f>'伤害统计(理想)'!AA58</f>
        <v>0</v>
      </c>
      <c r="AB58" s="20">
        <f>'伤害统计(理想)'!AB58</f>
        <v>0</v>
      </c>
      <c r="AC58" s="29"/>
    </row>
    <row r="59" spans="1:28">
      <c r="A59" s="20" t="str">
        <f>'伤害统计(理想)'!A59</f>
        <v>厚亡</v>
      </c>
      <c r="B59" s="20">
        <f>'伤害统计(理想)'!B59</f>
        <v>0</v>
      </c>
      <c r="C59" s="20">
        <f>'伤害统计(理想)'!C59</f>
        <v>0</v>
      </c>
      <c r="D59" s="20">
        <f>'伤害统计(理想)'!D59</f>
        <v>0</v>
      </c>
      <c r="E59" s="20">
        <f>'伤害统计(理想)'!E59</f>
        <v>0</v>
      </c>
      <c r="F59" s="20">
        <f>'伤害统计(理想)'!F59</f>
        <v>0</v>
      </c>
      <c r="G59" s="20">
        <f>'伤害统计(理想)'!G59</f>
        <v>0</v>
      </c>
      <c r="H59" s="20">
        <f>'伤害统计(理想)'!H59</f>
        <v>0</v>
      </c>
      <c r="I59" s="20">
        <f>'伤害统计(理想)'!I59</f>
        <v>0</v>
      </c>
      <c r="J59" s="20">
        <f>'伤害统计(理想)'!J59</f>
        <v>0</v>
      </c>
      <c r="K59" s="20">
        <f>'伤害统计(理想)'!K59</f>
        <v>0</v>
      </c>
      <c r="L59" s="20">
        <f>'伤害统计(理想)'!L59</f>
        <v>0</v>
      </c>
      <c r="M59" s="20">
        <f>'伤害统计(理想)'!M59</f>
        <v>0</v>
      </c>
      <c r="N59" s="20">
        <f>'伤害统计(理想)'!N59</f>
        <v>0</v>
      </c>
      <c r="O59" s="20">
        <f>'伤害统计(理想)'!O59</f>
        <v>0</v>
      </c>
      <c r="P59" s="20">
        <f>'伤害统计(理想)'!P59</f>
        <v>0</v>
      </c>
      <c r="Q59" s="20">
        <f>'伤害统计(理想)'!Q59</f>
        <v>0</v>
      </c>
      <c r="R59" s="20">
        <f>'伤害统计(理想)'!R59</f>
        <v>0</v>
      </c>
      <c r="S59" s="20">
        <f>'伤害统计(理想)'!S59</f>
        <v>0</v>
      </c>
      <c r="T59" s="20">
        <f>'伤害统计(理想)'!T59</f>
        <v>0</v>
      </c>
      <c r="U59" s="20">
        <f>'伤害统计(理想)'!U59</f>
        <v>0</v>
      </c>
      <c r="V59" s="20">
        <f>'伤害统计(理想)'!V59</f>
        <v>0</v>
      </c>
      <c r="W59" s="20">
        <f>'伤害统计(理想)'!W59</f>
        <v>0</v>
      </c>
      <c r="X59" s="20">
        <f>'伤害统计(理想)'!X59</f>
        <v>0</v>
      </c>
      <c r="Y59" s="20">
        <f>'伤害统计(理想)'!Y59</f>
        <v>0</v>
      </c>
      <c r="Z59" s="20">
        <f>'伤害统计(理想)'!Z59</f>
        <v>0</v>
      </c>
      <c r="AA59" s="20">
        <f>'伤害统计(理想)'!AA59</f>
        <v>0</v>
      </c>
      <c r="AB59" s="20">
        <f>'伤害统计(理想)'!AB59</f>
        <v>0</v>
      </c>
    </row>
    <row r="60" spans="1:28">
      <c r="A60" s="20" t="str">
        <f>'伤害统计(理想)'!A60</f>
        <v>刃凌</v>
      </c>
      <c r="B60" s="20">
        <f>'伤害统计(理想)'!B60</f>
        <v>16</v>
      </c>
      <c r="C60" s="20">
        <f>'伤害统计(理想)'!C60</f>
        <v>0</v>
      </c>
      <c r="D60" s="20">
        <f>'伤害统计(理想)'!D60</f>
        <v>0</v>
      </c>
      <c r="E60" s="20">
        <f>'伤害统计(理想)'!E60</f>
        <v>5</v>
      </c>
      <c r="F60" s="20">
        <f>'伤害统计(理想)'!F60</f>
        <v>2</v>
      </c>
      <c r="G60" s="20">
        <f>'伤害统计(理想)'!G60</f>
        <v>0</v>
      </c>
      <c r="H60" s="20">
        <f>'伤害统计(理想)'!H60</f>
        <v>0</v>
      </c>
      <c r="I60" s="20">
        <f>'伤害统计(理想)'!I60</f>
        <v>0</v>
      </c>
      <c r="J60" s="20">
        <f>'伤害统计(理想)'!J60</f>
        <v>0</v>
      </c>
      <c r="K60" s="20">
        <f>'伤害统计(理想)'!K60</f>
        <v>23</v>
      </c>
      <c r="L60" s="20">
        <f>'伤害统计(理想)'!L60</f>
        <v>23</v>
      </c>
      <c r="M60" s="20">
        <f>'伤害统计(理想)'!M60</f>
        <v>0</v>
      </c>
      <c r="N60" s="20">
        <f>'伤害统计(理想)'!N60</f>
        <v>0</v>
      </c>
      <c r="O60" s="20">
        <f>'伤害统计(理想)'!O60</f>
        <v>0</v>
      </c>
      <c r="P60" s="20">
        <f>'伤害统计(理想)'!P60</f>
        <v>0</v>
      </c>
      <c r="Q60" s="20">
        <f>'伤害统计(理想)'!Q60</f>
        <v>0</v>
      </c>
      <c r="R60" s="20">
        <f>'伤害统计(理想)'!R60</f>
        <v>0</v>
      </c>
      <c r="S60" s="20">
        <f>'伤害统计(理想)'!S60</f>
        <v>0</v>
      </c>
      <c r="T60" s="20">
        <f>'伤害统计(理想)'!T60</f>
        <v>0</v>
      </c>
      <c r="U60" s="20">
        <f>'伤害统计(理想)'!U60</f>
        <v>0</v>
      </c>
      <c r="V60" s="20">
        <f>'伤害统计(理想)'!V60</f>
        <v>0</v>
      </c>
      <c r="W60" s="20">
        <f>'伤害统计(理想)'!W60</f>
        <v>0</v>
      </c>
      <c r="X60" s="20">
        <f>'伤害统计(理想)'!X60</f>
        <v>0</v>
      </c>
      <c r="Y60" s="20">
        <f>'伤害统计(理想)'!Y60</f>
        <v>0</v>
      </c>
      <c r="Z60" s="20">
        <f>'伤害统计(理想)'!Z60</f>
        <v>0</v>
      </c>
      <c r="AA60" s="20">
        <f>'伤害统计(理想)'!AA60</f>
        <v>0</v>
      </c>
      <c r="AB60" s="20">
        <f>'伤害统计(理想)'!AB60</f>
        <v>0</v>
      </c>
    </row>
    <row r="61" spans="1:28">
      <c r="A61" s="20" t="str">
        <f>'伤害统计(理想)'!A61</f>
        <v>昆吾·弦刃</v>
      </c>
      <c r="B61" s="20">
        <f>'伤害统计(理想)'!B61</f>
        <v>14</v>
      </c>
      <c r="C61" s="20">
        <f>'伤害统计(理想)'!C61</f>
        <v>0</v>
      </c>
      <c r="D61" s="20">
        <f>'伤害统计(理想)'!D61</f>
        <v>0</v>
      </c>
      <c r="E61" s="20">
        <f>'伤害统计(理想)'!E61</f>
        <v>2</v>
      </c>
      <c r="F61" s="20">
        <f>'伤害统计(理想)'!F61</f>
        <v>0</v>
      </c>
      <c r="G61" s="20">
        <f>'伤害统计(理想)'!G61</f>
        <v>0</v>
      </c>
      <c r="H61" s="20">
        <f>'伤害统计(理想)'!H61</f>
        <v>0</v>
      </c>
      <c r="I61" s="20">
        <f>'伤害统计(理想)'!I61</f>
        <v>0</v>
      </c>
      <c r="J61" s="20">
        <f>'伤害统计(理想)'!J61</f>
        <v>0</v>
      </c>
      <c r="K61" s="20">
        <f>'伤害统计(理想)'!K61</f>
        <v>16</v>
      </c>
      <c r="L61" s="20">
        <f>'伤害统计(理想)'!L61</f>
        <v>16</v>
      </c>
      <c r="M61" s="20">
        <f>'伤害统计(理想)'!M61</f>
        <v>0</v>
      </c>
      <c r="N61" s="20">
        <f>'伤害统计(理想)'!N61</f>
        <v>0</v>
      </c>
      <c r="O61" s="20">
        <f>'伤害统计(理想)'!O61</f>
        <v>0</v>
      </c>
      <c r="P61" s="20">
        <f>'伤害统计(理想)'!P61</f>
        <v>0</v>
      </c>
      <c r="Q61" s="20">
        <f>'伤害统计(理想)'!Q61</f>
        <v>0</v>
      </c>
      <c r="R61" s="20">
        <f>'伤害统计(理想)'!R61</f>
        <v>0</v>
      </c>
      <c r="S61" s="20">
        <f>'伤害统计(理想)'!S61</f>
        <v>0</v>
      </c>
      <c r="T61" s="20">
        <f>'伤害统计(理想)'!T61</f>
        <v>0</v>
      </c>
      <c r="U61" s="20">
        <f>'伤害统计(理想)'!U61</f>
        <v>0</v>
      </c>
      <c r="V61" s="20">
        <f>'伤害统计(理想)'!V61</f>
        <v>0</v>
      </c>
      <c r="W61" s="20">
        <f>'伤害统计(理想)'!W61</f>
        <v>0</v>
      </c>
      <c r="X61" s="20">
        <f>'伤害统计(理想)'!X61</f>
        <v>0</v>
      </c>
      <c r="Y61" s="20">
        <f>'伤害统计(理想)'!Y61</f>
        <v>0</v>
      </c>
      <c r="Z61" s="20">
        <f>'伤害统计(理想)'!Z61</f>
        <v>0</v>
      </c>
      <c r="AA61" s="20">
        <f>'伤害统计(理想)'!AA61</f>
        <v>0</v>
      </c>
      <c r="AB61" s="20">
        <f>'伤害统计(理想)'!AB61</f>
        <v>0</v>
      </c>
    </row>
    <row r="62" spans="1:35">
      <c r="A62" s="20" t="str">
        <f>'伤害统计(理想)'!A62</f>
        <v>腾空·三才</v>
      </c>
      <c r="B62" s="20">
        <f>'伤害统计(理想)'!B62</f>
        <v>0</v>
      </c>
      <c r="C62" s="20">
        <f>'伤害统计(理想)'!C62</f>
        <v>0</v>
      </c>
      <c r="D62" s="20">
        <f>'伤害统计(理想)'!D62</f>
        <v>0</v>
      </c>
      <c r="E62" s="20">
        <f>'伤害统计(理想)'!E62</f>
        <v>0</v>
      </c>
      <c r="F62" s="20">
        <f>'伤害统计(理想)'!F62</f>
        <v>0</v>
      </c>
      <c r="G62" s="20">
        <f>'伤害统计(理想)'!G62</f>
        <v>0</v>
      </c>
      <c r="H62" s="20">
        <f>'伤害统计(理想)'!H62</f>
        <v>0</v>
      </c>
      <c r="I62" s="20">
        <f>'伤害统计(理想)'!I62</f>
        <v>0</v>
      </c>
      <c r="J62" s="20">
        <f>'伤害统计(理想)'!J62</f>
        <v>0</v>
      </c>
      <c r="K62" s="20">
        <f>'伤害统计(理想)'!K62</f>
        <v>0</v>
      </c>
      <c r="L62" s="20">
        <f>'伤害统计(理想)'!L62</f>
        <v>0</v>
      </c>
      <c r="M62" s="20">
        <f>'伤害统计(理想)'!M62</f>
        <v>0</v>
      </c>
      <c r="N62" s="20">
        <f>'伤害统计(理想)'!N62</f>
        <v>0</v>
      </c>
      <c r="O62" s="20">
        <f>'伤害统计(理想)'!O62</f>
        <v>0</v>
      </c>
      <c r="P62" s="20">
        <f>'伤害统计(理想)'!P62</f>
        <v>0</v>
      </c>
      <c r="Q62" s="20">
        <f>'伤害统计(理想)'!Q62</f>
        <v>0</v>
      </c>
      <c r="R62" s="20">
        <f>'伤害统计(理想)'!R62</f>
        <v>0</v>
      </c>
      <c r="S62" s="20">
        <f>'伤害统计(理想)'!S62</f>
        <v>0</v>
      </c>
      <c r="T62" s="20">
        <f>'伤害统计(理想)'!T62</f>
        <v>0</v>
      </c>
      <c r="U62" s="20">
        <f>'伤害统计(理想)'!U62</f>
        <v>0</v>
      </c>
      <c r="V62" s="20">
        <f>'伤害统计(理想)'!V62</f>
        <v>0</v>
      </c>
      <c r="W62" s="20">
        <f>'伤害统计(理想)'!W62</f>
        <v>0</v>
      </c>
      <c r="X62" s="20">
        <f>'伤害统计(理想)'!X62</f>
        <v>0</v>
      </c>
      <c r="Y62" s="20">
        <f>'伤害统计(理想)'!Y62</f>
        <v>0</v>
      </c>
      <c r="Z62" s="20">
        <f>'伤害统计(理想)'!Z62</f>
        <v>0</v>
      </c>
      <c r="AA62" s="20">
        <f>'伤害统计(理想)'!AA62</f>
        <v>0</v>
      </c>
      <c r="AB62" s="20">
        <f>'伤害统计(理想)'!AB62</f>
        <v>0</v>
      </c>
      <c r="AH62" s="33"/>
      <c r="AI62" s="33"/>
    </row>
    <row r="63" spans="1:28">
      <c r="A63" s="20" t="str">
        <f>'伤害统计(理想)'!A63</f>
        <v>腾空·凭虚</v>
      </c>
      <c r="B63" s="20">
        <f>'伤害统计(理想)'!B63</f>
        <v>0</v>
      </c>
      <c r="C63" s="20">
        <f>'伤害统计(理想)'!C63</f>
        <v>0</v>
      </c>
      <c r="D63" s="20">
        <f>'伤害统计(理想)'!D63</f>
        <v>0</v>
      </c>
      <c r="E63" s="20">
        <f>'伤害统计(理想)'!E63</f>
        <v>0</v>
      </c>
      <c r="F63" s="20">
        <f>'伤害统计(理想)'!F63</f>
        <v>0</v>
      </c>
      <c r="G63" s="20">
        <f>'伤害统计(理想)'!G63</f>
        <v>0</v>
      </c>
      <c r="H63" s="20">
        <f>'伤害统计(理想)'!H63</f>
        <v>0</v>
      </c>
      <c r="I63" s="20">
        <f>'伤害统计(理想)'!I63</f>
        <v>0</v>
      </c>
      <c r="J63" s="20">
        <f>'伤害统计(理想)'!J63</f>
        <v>0</v>
      </c>
      <c r="K63" s="20">
        <f>'伤害统计(理想)'!K63</f>
        <v>0</v>
      </c>
      <c r="L63" s="20">
        <f>'伤害统计(理想)'!L63</f>
        <v>0</v>
      </c>
      <c r="M63" s="20">
        <f>'伤害统计(理想)'!M63</f>
        <v>0</v>
      </c>
      <c r="N63" s="20">
        <f>'伤害统计(理想)'!N63</f>
        <v>0</v>
      </c>
      <c r="O63" s="20">
        <f>'伤害统计(理想)'!O63</f>
        <v>0</v>
      </c>
      <c r="P63" s="20">
        <f>'伤害统计(理想)'!P63</f>
        <v>0</v>
      </c>
      <c r="Q63" s="20">
        <f>'伤害统计(理想)'!Q63</f>
        <v>0</v>
      </c>
      <c r="R63" s="20">
        <f>'伤害统计(理想)'!R63</f>
        <v>0</v>
      </c>
      <c r="S63" s="20">
        <f>'伤害统计(理想)'!S63</f>
        <v>0</v>
      </c>
      <c r="T63" s="20">
        <f>'伤害统计(理想)'!T63</f>
        <v>0</v>
      </c>
      <c r="U63" s="20">
        <f>'伤害统计(理想)'!U63</f>
        <v>0</v>
      </c>
      <c r="V63" s="20">
        <f>'伤害统计(理想)'!V63</f>
        <v>0</v>
      </c>
      <c r="W63" s="20">
        <f>'伤害统计(理想)'!W63</f>
        <v>0</v>
      </c>
      <c r="X63" s="20">
        <f>'伤害统计(理想)'!X63</f>
        <v>0</v>
      </c>
      <c r="Y63" s="20">
        <f>'伤害统计(理想)'!Y63</f>
        <v>0</v>
      </c>
      <c r="Z63" s="20">
        <f>'伤害统计(理想)'!Z63</f>
        <v>0</v>
      </c>
      <c r="AA63" s="20">
        <f>'伤害统计(理想)'!AA63</f>
        <v>0</v>
      </c>
      <c r="AB63" s="20">
        <f>'伤害统计(理想)'!AB63</f>
        <v>0</v>
      </c>
    </row>
    <row r="64" spans="1:33">
      <c r="A64" s="20" t="str">
        <f>'伤害统计(理想)'!A64</f>
        <v>腾空·凭虚·定</v>
      </c>
      <c r="B64" s="20">
        <f>'伤害统计(理想)'!B64</f>
        <v>0</v>
      </c>
      <c r="C64" s="20">
        <f>'伤害统计(理想)'!C64</f>
        <v>0</v>
      </c>
      <c r="D64" s="20">
        <f>'伤害统计(理想)'!D64</f>
        <v>0</v>
      </c>
      <c r="E64" s="20">
        <f>'伤害统计(理想)'!E64</f>
        <v>0</v>
      </c>
      <c r="F64" s="20">
        <f>'伤害统计(理想)'!F64</f>
        <v>0</v>
      </c>
      <c r="G64" s="20">
        <f>'伤害统计(理想)'!G64</f>
        <v>0</v>
      </c>
      <c r="H64" s="20">
        <f>'伤害统计(理想)'!H64</f>
        <v>0</v>
      </c>
      <c r="I64" s="20">
        <f>'伤害统计(理想)'!I64</f>
        <v>0</v>
      </c>
      <c r="J64" s="20">
        <f>'伤害统计(理想)'!J64</f>
        <v>0</v>
      </c>
      <c r="K64" s="20">
        <f>'伤害统计(理想)'!K64</f>
        <v>0</v>
      </c>
      <c r="L64" s="20">
        <f>'伤害统计(理想)'!L64</f>
        <v>0</v>
      </c>
      <c r="M64" s="20">
        <f>'伤害统计(理想)'!M64</f>
        <v>0</v>
      </c>
      <c r="N64" s="20">
        <f>'伤害统计(理想)'!N64</f>
        <v>0</v>
      </c>
      <c r="O64" s="20">
        <f>'伤害统计(理想)'!O64</f>
        <v>0</v>
      </c>
      <c r="P64" s="20">
        <f>'伤害统计(理想)'!P64</f>
        <v>0</v>
      </c>
      <c r="Q64" s="20">
        <f>'伤害统计(理想)'!Q64</f>
        <v>0</v>
      </c>
      <c r="R64" s="20">
        <f>'伤害统计(理想)'!R64</f>
        <v>0</v>
      </c>
      <c r="S64" s="20">
        <f>'伤害统计(理想)'!S64</f>
        <v>0</v>
      </c>
      <c r="T64" s="20">
        <f>'伤害统计(理想)'!T64</f>
        <v>0</v>
      </c>
      <c r="U64" s="20">
        <f>'伤害统计(理想)'!U64</f>
        <v>0</v>
      </c>
      <c r="V64" s="20">
        <f>'伤害统计(理想)'!V64</f>
        <v>0</v>
      </c>
      <c r="W64" s="20">
        <f>'伤害统计(理想)'!W64</f>
        <v>0</v>
      </c>
      <c r="X64" s="20">
        <f>'伤害统计(理想)'!X64</f>
        <v>0</v>
      </c>
      <c r="Y64" s="20">
        <f>'伤害统计(理想)'!Y64</f>
        <v>0</v>
      </c>
      <c r="Z64" s="20">
        <f>'伤害统计(理想)'!Z64</f>
        <v>0</v>
      </c>
      <c r="AA64" s="20">
        <f>'伤害统计(理想)'!AA64</f>
        <v>0</v>
      </c>
      <c r="AB64" s="20">
        <f>'伤害统计(理想)'!AB64</f>
        <v>0</v>
      </c>
      <c r="AG64" s="33"/>
    </row>
    <row r="65" spans="1:28">
      <c r="A65" s="20" t="str">
        <f>'伤害统计(理想)'!A65</f>
        <v>气竭(DOT)</v>
      </c>
      <c r="B65" s="20">
        <f>'伤害统计(理想)'!B65</f>
        <v>0</v>
      </c>
      <c r="C65" s="20">
        <f>'伤害统计(理想)'!C65</f>
        <v>0</v>
      </c>
      <c r="D65" s="20">
        <f>'伤害统计(理想)'!D65</f>
        <v>0</v>
      </c>
      <c r="E65" s="20">
        <f>'伤害统计(理想)'!E65</f>
        <v>0</v>
      </c>
      <c r="F65" s="20">
        <f>'伤害统计(理想)'!F65</f>
        <v>0</v>
      </c>
      <c r="G65" s="20">
        <f>'伤害统计(理想)'!G65</f>
        <v>0</v>
      </c>
      <c r="H65" s="20">
        <f>'伤害统计(理想)'!H65</f>
        <v>0</v>
      </c>
      <c r="I65" s="20">
        <f>'伤害统计(理想)'!I65</f>
        <v>0</v>
      </c>
      <c r="J65" s="20">
        <f>'伤害统计(理想)'!J65</f>
        <v>0</v>
      </c>
      <c r="K65" s="20">
        <f>'伤害统计(理想)'!K65</f>
        <v>0</v>
      </c>
      <c r="L65" s="20">
        <f>'伤害统计(理想)'!L65</f>
        <v>0</v>
      </c>
      <c r="M65" s="20">
        <f>'伤害统计(理想)'!M65</f>
        <v>0</v>
      </c>
      <c r="N65" s="20">
        <f>'伤害统计(理想)'!N65</f>
        <v>0</v>
      </c>
      <c r="O65" s="20">
        <f>'伤害统计(理想)'!O65</f>
        <v>0</v>
      </c>
      <c r="P65" s="20">
        <f>'伤害统计(理想)'!P65</f>
        <v>0</v>
      </c>
      <c r="Q65" s="20">
        <f>'伤害统计(理想)'!Q65</f>
        <v>0</v>
      </c>
      <c r="R65" s="20">
        <f>'伤害统计(理想)'!R65</f>
        <v>0</v>
      </c>
      <c r="S65" s="20">
        <f>'伤害统计(理想)'!S65</f>
        <v>0</v>
      </c>
      <c r="T65" s="20">
        <f>'伤害统计(理想)'!T65</f>
        <v>0</v>
      </c>
      <c r="U65" s="20">
        <f>'伤害统计(理想)'!U65</f>
        <v>0</v>
      </c>
      <c r="V65" s="20">
        <f>'伤害统计(理想)'!V65</f>
        <v>0</v>
      </c>
      <c r="W65" s="20">
        <f>'伤害统计(理想)'!W65</f>
        <v>0</v>
      </c>
      <c r="X65" s="20">
        <f>'伤害统计(理想)'!X65</f>
        <v>0</v>
      </c>
      <c r="Y65" s="20">
        <f>'伤害统计(理想)'!Y65</f>
        <v>0</v>
      </c>
      <c r="Z65" s="20">
        <f>'伤害统计(理想)'!Z65</f>
        <v>0</v>
      </c>
      <c r="AA65" s="20">
        <f>'伤害统计(理想)'!AA65</f>
        <v>0</v>
      </c>
      <c r="AB65" s="20">
        <f>'伤害统计(理想)'!AB65</f>
        <v>0</v>
      </c>
    </row>
    <row r="66" spans="1:28">
      <c r="A66" s="20" t="str">
        <f>'伤害统计(理想)'!A66</f>
        <v>星辰</v>
      </c>
      <c r="B66" s="20">
        <f>'伤害统计(理想)'!B66</f>
        <v>0</v>
      </c>
      <c r="C66" s="20">
        <f>'伤害统计(理想)'!C66</f>
        <v>0</v>
      </c>
      <c r="D66" s="20">
        <f>'伤害统计(理想)'!D66</f>
        <v>0</v>
      </c>
      <c r="E66" s="20">
        <f>'伤害统计(理想)'!E66</f>
        <v>0</v>
      </c>
      <c r="F66" s="20">
        <f>'伤害统计(理想)'!F66</f>
        <v>0</v>
      </c>
      <c r="G66" s="20">
        <f>'伤害统计(理想)'!G66</f>
        <v>0</v>
      </c>
      <c r="H66" s="20">
        <f>'伤害统计(理想)'!H66</f>
        <v>0</v>
      </c>
      <c r="I66" s="20">
        <f>'伤害统计(理想)'!I66</f>
        <v>0</v>
      </c>
      <c r="J66" s="20">
        <f>'伤害统计(理想)'!J66</f>
        <v>0</v>
      </c>
      <c r="K66" s="20">
        <f>'伤害统计(理想)'!K66</f>
        <v>0</v>
      </c>
      <c r="L66" s="20">
        <f>'伤害统计(理想)'!L66</f>
        <v>0</v>
      </c>
      <c r="M66" s="20">
        <f>'伤害统计(理想)'!M66</f>
        <v>0</v>
      </c>
      <c r="N66" s="20">
        <f>'伤害统计(理想)'!N66</f>
        <v>0</v>
      </c>
      <c r="O66" s="20">
        <f>'伤害统计(理想)'!O66</f>
        <v>0</v>
      </c>
      <c r="P66" s="20">
        <f>'伤害统计(理想)'!P66</f>
        <v>0</v>
      </c>
      <c r="Q66" s="20">
        <f>'伤害统计(理想)'!Q66</f>
        <v>0</v>
      </c>
      <c r="R66" s="20">
        <f>'伤害统计(理想)'!R66</f>
        <v>0</v>
      </c>
      <c r="S66" s="20">
        <f>'伤害统计(理想)'!S66</f>
        <v>0</v>
      </c>
      <c r="T66" s="20">
        <f>'伤害统计(理想)'!T66</f>
        <v>0</v>
      </c>
      <c r="U66" s="20">
        <f>'伤害统计(理想)'!U66</f>
        <v>0</v>
      </c>
      <c r="V66" s="20">
        <f>'伤害统计(理想)'!V66</f>
        <v>0</v>
      </c>
      <c r="W66" s="20">
        <f>'伤害统计(理想)'!W66</f>
        <v>0</v>
      </c>
      <c r="X66" s="20">
        <f>'伤害统计(理想)'!X66</f>
        <v>0</v>
      </c>
      <c r="Y66" s="20">
        <f>'伤害统计(理想)'!Y66</f>
        <v>0</v>
      </c>
      <c r="Z66" s="20">
        <f>'伤害统计(理想)'!Z66</f>
        <v>0</v>
      </c>
      <c r="AA66" s="20">
        <f>'伤害统计(理想)'!AA66</f>
        <v>0</v>
      </c>
      <c r="AB66" s="20">
        <f>'伤害统计(理想)'!AB66</f>
        <v>0</v>
      </c>
    </row>
    <row r="67" spans="1:9">
      <c r="A67" s="20" t="str">
        <f>'伤害统计(理想)'!A67</f>
        <v>四象轮回·神兵</v>
      </c>
      <c r="B67" s="20">
        <f>'伤害统计(理想)'!B67</f>
        <v>0</v>
      </c>
      <c r="C67" s="20">
        <f>'伤害统计(理想)'!C67</f>
        <v>0</v>
      </c>
      <c r="D67" s="20">
        <f>'伤害统计(理想)'!D67</f>
        <v>0</v>
      </c>
      <c r="E67" s="20">
        <f>'伤害统计(理想)'!E67</f>
        <v>0</v>
      </c>
      <c r="F67" s="20">
        <f>'伤害统计(理想)'!F67</f>
        <v>0</v>
      </c>
      <c r="G67" s="20">
        <f>'伤害统计(理想)'!G67</f>
        <v>0</v>
      </c>
      <c r="H67" s="20">
        <f>'伤害统计(理想)'!H67</f>
        <v>0</v>
      </c>
      <c r="I67" s="20">
        <f>'伤害统计(理想)'!I67</f>
        <v>0</v>
      </c>
    </row>
    <row r="69" spans="33:33">
      <c r="AG69" s="33"/>
    </row>
    <row r="70" spans="2:12">
      <c r="B70" s="20" t="s">
        <v>365</v>
      </c>
      <c r="C70" s="20" t="s">
        <v>987</v>
      </c>
      <c r="D70" s="20" t="s">
        <v>988</v>
      </c>
      <c r="E70" s="20" t="s">
        <v>989</v>
      </c>
      <c r="F70" s="20" t="s">
        <v>990</v>
      </c>
      <c r="G70" s="20" t="s">
        <v>991</v>
      </c>
      <c r="H70" s="20" t="s">
        <v>992</v>
      </c>
      <c r="I70" s="20" t="s">
        <v>993</v>
      </c>
      <c r="L70" s="20" t="s">
        <v>996</v>
      </c>
    </row>
    <row r="71" spans="1:12">
      <c r="A71" s="20" t="s">
        <v>959</v>
      </c>
      <c r="B71" s="20">
        <f t="shared" ref="B71:B100" si="13">(AC2*(1-Q2)+AF2*Q2)*B38</f>
        <v>4563919.3446</v>
      </c>
      <c r="C71" s="20">
        <f t="shared" ref="C71:C100" si="14">(AI2*(1-S2)+AJ2*S2)*C38</f>
        <v>0</v>
      </c>
      <c r="D71" s="20">
        <f t="shared" ref="D71:D100" si="15">(AD2*(1-S2)+AG2*S2)*D38</f>
        <v>0</v>
      </c>
      <c r="E71" s="20">
        <f t="shared" ref="E71:E100" si="16">(AD2*(1-S2)+AM2*S2)*E38</f>
        <v>0</v>
      </c>
      <c r="F71" s="20">
        <f t="shared" ref="F71:F100" si="17">(AE2*(1-Q2)+AH2*Q2)*F38</f>
        <v>0</v>
      </c>
      <c r="G71" s="20">
        <f t="shared" ref="G71:G100" si="18">(AK2*(1-S2)+AL2*S2)*G38</f>
        <v>0</v>
      </c>
      <c r="H71" s="20">
        <f t="shared" ref="H71:H100" si="19">(AE2*(1-S2)+AH2*S2)*H38</f>
        <v>0</v>
      </c>
      <c r="I71" s="20">
        <f t="shared" ref="I71:I100" si="20">(AE2*(1-S2)+AN2*S2)*I38</f>
        <v>0</v>
      </c>
      <c r="K71" s="20">
        <f t="shared" ref="K71:K99" si="21">INT(SUM(B71:I71))</f>
        <v>4563919</v>
      </c>
      <c r="L71" s="20">
        <f>K71</f>
        <v>4563919</v>
      </c>
    </row>
    <row r="72" spans="1:12">
      <c r="A72" s="20" t="s">
        <v>960</v>
      </c>
      <c r="B72" s="20">
        <f t="shared" si="13"/>
        <v>7563318.543</v>
      </c>
      <c r="C72" s="20">
        <f t="shared" si="14"/>
        <v>0</v>
      </c>
      <c r="D72" s="20">
        <f t="shared" si="15"/>
        <v>677207.38</v>
      </c>
      <c r="E72" s="20">
        <f t="shared" si="16"/>
        <v>1453166.43</v>
      </c>
      <c r="F72" s="20">
        <f t="shared" si="17"/>
        <v>273790.5844</v>
      </c>
      <c r="G72" s="20">
        <f t="shared" si="18"/>
        <v>0</v>
      </c>
      <c r="H72" s="20">
        <f t="shared" si="19"/>
        <v>335798.331</v>
      </c>
      <c r="I72" s="20">
        <f t="shared" si="20"/>
        <v>627899.68</v>
      </c>
      <c r="K72" s="20">
        <f t="shared" si="21"/>
        <v>10931180</v>
      </c>
      <c r="L72" s="20">
        <f>SUM(K72:K76)</f>
        <v>68095963</v>
      </c>
    </row>
    <row r="73" spans="1:11">
      <c r="A73" s="20" t="s">
        <v>961</v>
      </c>
      <c r="B73" s="20">
        <f t="shared" si="13"/>
        <v>8493178.3992</v>
      </c>
      <c r="C73" s="20">
        <f t="shared" si="14"/>
        <v>0</v>
      </c>
      <c r="D73" s="20">
        <f t="shared" si="15"/>
        <v>760474.94</v>
      </c>
      <c r="E73" s="20">
        <f t="shared" si="16"/>
        <v>1631842.905</v>
      </c>
      <c r="F73" s="20">
        <f t="shared" si="17"/>
        <v>307454.844</v>
      </c>
      <c r="G73" s="20">
        <f t="shared" si="18"/>
        <v>0</v>
      </c>
      <c r="H73" s="20">
        <f t="shared" si="19"/>
        <v>377086.81</v>
      </c>
      <c r="I73" s="20">
        <f t="shared" si="20"/>
        <v>705105.594</v>
      </c>
      <c r="K73" s="20">
        <f t="shared" si="21"/>
        <v>12275143</v>
      </c>
    </row>
    <row r="74" spans="1:11">
      <c r="A74" s="20" t="s">
        <v>962</v>
      </c>
      <c r="B74" s="20">
        <f t="shared" si="13"/>
        <v>9423236.1366</v>
      </c>
      <c r="C74" s="20">
        <f t="shared" si="14"/>
        <v>0</v>
      </c>
      <c r="D74" s="20">
        <f t="shared" si="15"/>
        <v>843730.065</v>
      </c>
      <c r="E74" s="20">
        <f t="shared" si="16"/>
        <v>1810494.51</v>
      </c>
      <c r="F74" s="20">
        <f t="shared" si="17"/>
        <v>341119.1036</v>
      </c>
      <c r="G74" s="20">
        <f t="shared" si="18"/>
        <v>0</v>
      </c>
      <c r="H74" s="20">
        <f t="shared" si="19"/>
        <v>418375.289</v>
      </c>
      <c r="I74" s="20">
        <f t="shared" si="20"/>
        <v>782308.534</v>
      </c>
      <c r="K74" s="20">
        <f t="shared" si="21"/>
        <v>13619263</v>
      </c>
    </row>
    <row r="75" spans="1:11">
      <c r="A75" s="20" t="s">
        <v>963</v>
      </c>
      <c r="B75" s="20">
        <f t="shared" si="13"/>
        <v>10353095.9928</v>
      </c>
      <c r="C75" s="20">
        <f t="shared" si="14"/>
        <v>0</v>
      </c>
      <c r="D75" s="20">
        <f t="shared" si="15"/>
        <v>926997.625</v>
      </c>
      <c r="E75" s="20">
        <f t="shared" si="16"/>
        <v>1989170.985</v>
      </c>
      <c r="F75" s="20">
        <f t="shared" si="17"/>
        <v>374780.3644</v>
      </c>
      <c r="G75" s="20">
        <f t="shared" si="18"/>
        <v>0</v>
      </c>
      <c r="H75" s="20">
        <f t="shared" si="19"/>
        <v>459660.281</v>
      </c>
      <c r="I75" s="20">
        <f t="shared" si="20"/>
        <v>859504.5</v>
      </c>
      <c r="K75" s="20">
        <f t="shared" si="21"/>
        <v>14963209</v>
      </c>
    </row>
    <row r="76" spans="1:11">
      <c r="A76" s="20" t="s">
        <v>964</v>
      </c>
      <c r="B76" s="20">
        <f t="shared" si="13"/>
        <v>11282955.849</v>
      </c>
      <c r="C76" s="20">
        <f t="shared" si="14"/>
        <v>0</v>
      </c>
      <c r="D76" s="20">
        <f t="shared" si="15"/>
        <v>1010261.4675</v>
      </c>
      <c r="E76" s="20">
        <f t="shared" si="16"/>
        <v>2167847.46</v>
      </c>
      <c r="F76" s="20">
        <f t="shared" si="17"/>
        <v>408444.624</v>
      </c>
      <c r="G76" s="20">
        <f t="shared" si="18"/>
        <v>0</v>
      </c>
      <c r="H76" s="20">
        <f t="shared" si="19"/>
        <v>500948.76</v>
      </c>
      <c r="I76" s="20">
        <f t="shared" si="20"/>
        <v>936710.414</v>
      </c>
      <c r="K76" s="20">
        <f t="shared" si="21"/>
        <v>16307168</v>
      </c>
    </row>
    <row r="77" spans="1:12">
      <c r="A77" s="20" t="s">
        <v>965</v>
      </c>
      <c r="B77" s="20">
        <f t="shared" si="13"/>
        <v>2033283.2016</v>
      </c>
      <c r="C77" s="20">
        <f t="shared" si="14"/>
        <v>0</v>
      </c>
      <c r="D77" s="20">
        <f t="shared" si="15"/>
        <v>0</v>
      </c>
      <c r="E77" s="20">
        <f t="shared" si="16"/>
        <v>13706253.2</v>
      </c>
      <c r="F77" s="20">
        <f t="shared" si="17"/>
        <v>0</v>
      </c>
      <c r="G77" s="20">
        <f t="shared" si="18"/>
        <v>0</v>
      </c>
      <c r="H77" s="20">
        <f t="shared" si="19"/>
        <v>0</v>
      </c>
      <c r="I77" s="20">
        <f t="shared" si="20"/>
        <v>5922335.6</v>
      </c>
      <c r="K77" s="20">
        <f t="shared" si="21"/>
        <v>21661872</v>
      </c>
      <c r="L77" s="20">
        <f t="shared" ref="L77:L79" si="22">K77</f>
        <v>21661872</v>
      </c>
    </row>
    <row r="78" spans="1:12">
      <c r="A78" s="35" t="s">
        <v>966</v>
      </c>
      <c r="B78" s="20">
        <f t="shared" si="13"/>
        <v>371483.231</v>
      </c>
      <c r="C78" s="20">
        <f t="shared" si="14"/>
        <v>0</v>
      </c>
      <c r="D78" s="20">
        <f t="shared" si="15"/>
        <v>0</v>
      </c>
      <c r="E78" s="20">
        <f t="shared" si="16"/>
        <v>0</v>
      </c>
      <c r="F78" s="20">
        <f t="shared" si="17"/>
        <v>0</v>
      </c>
      <c r="G78" s="20">
        <f t="shared" si="18"/>
        <v>0</v>
      </c>
      <c r="H78" s="20">
        <f t="shared" si="19"/>
        <v>0</v>
      </c>
      <c r="I78" s="20">
        <f t="shared" si="20"/>
        <v>0</v>
      </c>
      <c r="K78" s="20">
        <f t="shared" si="21"/>
        <v>371483</v>
      </c>
      <c r="L78" s="20">
        <f t="shared" si="22"/>
        <v>371483</v>
      </c>
    </row>
    <row r="79" spans="1:12">
      <c r="A79" s="20" t="s">
        <v>967</v>
      </c>
      <c r="B79" s="20">
        <f t="shared" si="13"/>
        <v>13201367.046</v>
      </c>
      <c r="C79" s="20">
        <f t="shared" si="14"/>
        <v>0</v>
      </c>
      <c r="D79" s="20">
        <f t="shared" si="15"/>
        <v>2773163.6575</v>
      </c>
      <c r="E79" s="20">
        <f t="shared" si="16"/>
        <v>5974749.68</v>
      </c>
      <c r="F79" s="20">
        <f t="shared" si="17"/>
        <v>1086165.9536</v>
      </c>
      <c r="G79" s="20">
        <f t="shared" si="18"/>
        <v>0</v>
      </c>
      <c r="H79" s="20">
        <f t="shared" si="19"/>
        <v>1293051.444</v>
      </c>
      <c r="I79" s="20">
        <f t="shared" si="20"/>
        <v>2581645.008</v>
      </c>
      <c r="K79" s="20">
        <f t="shared" si="21"/>
        <v>26910142</v>
      </c>
      <c r="L79" s="20">
        <f t="shared" si="22"/>
        <v>26910142</v>
      </c>
    </row>
    <row r="80" spans="1:12">
      <c r="A80" s="20" t="s">
        <v>1001</v>
      </c>
      <c r="B80" s="20">
        <f t="shared" si="13"/>
        <v>11148144.546</v>
      </c>
      <c r="C80" s="20">
        <f t="shared" si="14"/>
        <v>0</v>
      </c>
      <c r="D80" s="20">
        <f t="shared" si="15"/>
        <v>2333262.3625</v>
      </c>
      <c r="E80" s="20">
        <f t="shared" si="16"/>
        <v>7523584.26</v>
      </c>
      <c r="F80" s="20">
        <f t="shared" si="17"/>
        <v>900875.734</v>
      </c>
      <c r="G80" s="20">
        <f t="shared" si="18"/>
        <v>0</v>
      </c>
      <c r="H80" s="20">
        <f t="shared" si="19"/>
        <v>1085442.185</v>
      </c>
      <c r="I80" s="20">
        <f t="shared" si="20"/>
        <v>3250878.096</v>
      </c>
      <c r="K80" s="20">
        <f t="shared" si="21"/>
        <v>26242187</v>
      </c>
      <c r="L80" s="20">
        <f>SUM(K80:K82)</f>
        <v>28882577</v>
      </c>
    </row>
    <row r="81" spans="1:11">
      <c r="A81" s="20" t="s">
        <v>969</v>
      </c>
      <c r="B81" s="20">
        <f t="shared" si="13"/>
        <v>2640390.5448</v>
      </c>
      <c r="C81" s="20">
        <f t="shared" si="14"/>
        <v>0</v>
      </c>
      <c r="D81" s="20">
        <f t="shared" si="15"/>
        <v>0</v>
      </c>
      <c r="E81" s="20">
        <f t="shared" si="16"/>
        <v>0</v>
      </c>
      <c r="F81" s="20">
        <f t="shared" si="17"/>
        <v>0</v>
      </c>
      <c r="G81" s="20">
        <f t="shared" si="18"/>
        <v>0</v>
      </c>
      <c r="H81" s="20">
        <f t="shared" si="19"/>
        <v>0</v>
      </c>
      <c r="I81" s="20">
        <f t="shared" si="20"/>
        <v>0</v>
      </c>
      <c r="K81" s="20">
        <f t="shared" si="21"/>
        <v>2640390</v>
      </c>
    </row>
    <row r="82" spans="1:11">
      <c r="A82" s="20" t="s">
        <v>970</v>
      </c>
      <c r="B82" s="20">
        <f t="shared" si="13"/>
        <v>0</v>
      </c>
      <c r="C82" s="20">
        <f t="shared" si="14"/>
        <v>0</v>
      </c>
      <c r="D82" s="20">
        <f t="shared" si="15"/>
        <v>0</v>
      </c>
      <c r="E82" s="20">
        <f t="shared" si="16"/>
        <v>0</v>
      </c>
      <c r="F82" s="20">
        <f t="shared" si="17"/>
        <v>0</v>
      </c>
      <c r="G82" s="20">
        <f t="shared" si="18"/>
        <v>0</v>
      </c>
      <c r="H82" s="20">
        <f t="shared" si="19"/>
        <v>0</v>
      </c>
      <c r="I82" s="20">
        <f t="shared" si="20"/>
        <v>0</v>
      </c>
      <c r="K82" s="20">
        <f t="shared" si="21"/>
        <v>0</v>
      </c>
    </row>
    <row r="83" spans="1:12">
      <c r="A83" s="35" t="s">
        <v>971</v>
      </c>
      <c r="B83" s="20">
        <f t="shared" si="13"/>
        <v>1080979.8662</v>
      </c>
      <c r="C83" s="20">
        <f t="shared" si="14"/>
        <v>0</v>
      </c>
      <c r="D83" s="20">
        <f t="shared" si="15"/>
        <v>0</v>
      </c>
      <c r="E83" s="20">
        <f t="shared" si="16"/>
        <v>0</v>
      </c>
      <c r="F83" s="20">
        <f t="shared" si="17"/>
        <v>0</v>
      </c>
      <c r="G83" s="20">
        <f t="shared" si="18"/>
        <v>0</v>
      </c>
      <c r="H83" s="20">
        <f t="shared" si="19"/>
        <v>0</v>
      </c>
      <c r="I83" s="20">
        <f t="shared" si="20"/>
        <v>0</v>
      </c>
      <c r="K83" s="20">
        <f t="shared" si="21"/>
        <v>1080979</v>
      </c>
      <c r="L83" s="20">
        <f>SUM(K83:K87)</f>
        <v>13320057</v>
      </c>
    </row>
    <row r="84" spans="1:11">
      <c r="A84" s="35" t="s">
        <v>972</v>
      </c>
      <c r="B84" s="20">
        <f t="shared" si="13"/>
        <v>673541.8548</v>
      </c>
      <c r="C84" s="20">
        <f t="shared" si="14"/>
        <v>0</v>
      </c>
      <c r="D84" s="20">
        <f t="shared" si="15"/>
        <v>0</v>
      </c>
      <c r="E84" s="20">
        <f t="shared" si="16"/>
        <v>1068013.9825</v>
      </c>
      <c r="F84" s="20">
        <f t="shared" si="17"/>
        <v>0</v>
      </c>
      <c r="G84" s="20">
        <f t="shared" si="18"/>
        <v>0</v>
      </c>
      <c r="H84" s="20">
        <f t="shared" si="19"/>
        <v>0</v>
      </c>
      <c r="I84" s="20">
        <f t="shared" si="20"/>
        <v>461479.187</v>
      </c>
      <c r="K84" s="20">
        <f t="shared" si="21"/>
        <v>2203035</v>
      </c>
    </row>
    <row r="85" spans="1:11">
      <c r="A85" s="35" t="s">
        <v>973</v>
      </c>
      <c r="B85" s="20">
        <f t="shared" si="13"/>
        <v>848160.9288</v>
      </c>
      <c r="C85" s="20">
        <f t="shared" si="14"/>
        <v>0</v>
      </c>
      <c r="D85" s="20">
        <f t="shared" si="15"/>
        <v>0</v>
      </c>
      <c r="E85" s="20">
        <f t="shared" si="16"/>
        <v>1344904.92</v>
      </c>
      <c r="F85" s="20">
        <f t="shared" si="17"/>
        <v>0</v>
      </c>
      <c r="G85" s="20">
        <f t="shared" si="18"/>
        <v>0</v>
      </c>
      <c r="H85" s="20">
        <f t="shared" si="19"/>
        <v>0</v>
      </c>
      <c r="I85" s="20">
        <f t="shared" si="20"/>
        <v>581122.735</v>
      </c>
      <c r="K85" s="20">
        <f t="shared" si="21"/>
        <v>2774188</v>
      </c>
    </row>
    <row r="86" spans="1:11">
      <c r="A86" s="35" t="s">
        <v>974</v>
      </c>
      <c r="B86" s="20">
        <f t="shared" si="13"/>
        <v>1022788.9992</v>
      </c>
      <c r="C86" s="20">
        <f t="shared" si="14"/>
        <v>0</v>
      </c>
      <c r="D86" s="20">
        <f t="shared" si="15"/>
        <v>0</v>
      </c>
      <c r="E86" s="20">
        <f t="shared" si="16"/>
        <v>1621792.14</v>
      </c>
      <c r="F86" s="20">
        <f t="shared" si="17"/>
        <v>0</v>
      </c>
      <c r="G86" s="20">
        <f t="shared" si="18"/>
        <v>0</v>
      </c>
      <c r="H86" s="20">
        <f t="shared" si="19"/>
        <v>0</v>
      </c>
      <c r="I86" s="20">
        <f t="shared" si="20"/>
        <v>700767.77</v>
      </c>
      <c r="K86" s="20">
        <f t="shared" si="21"/>
        <v>3345348</v>
      </c>
    </row>
    <row r="87" spans="1:11">
      <c r="A87" s="35" t="s">
        <v>975</v>
      </c>
      <c r="B87" s="20">
        <f t="shared" si="13"/>
        <v>1197408.0732</v>
      </c>
      <c r="C87" s="20">
        <f t="shared" si="14"/>
        <v>0</v>
      </c>
      <c r="D87" s="20">
        <f t="shared" si="15"/>
        <v>0</v>
      </c>
      <c r="E87" s="20">
        <f t="shared" si="16"/>
        <v>1898691.795</v>
      </c>
      <c r="F87" s="20">
        <f t="shared" si="17"/>
        <v>0</v>
      </c>
      <c r="G87" s="20">
        <f t="shared" si="18"/>
        <v>0</v>
      </c>
      <c r="H87" s="20">
        <f t="shared" si="19"/>
        <v>0</v>
      </c>
      <c r="I87" s="20">
        <f t="shared" si="20"/>
        <v>820407.831</v>
      </c>
      <c r="K87" s="20">
        <f t="shared" si="21"/>
        <v>3916507</v>
      </c>
    </row>
    <row r="88" spans="1:12">
      <c r="A88" s="20" t="s">
        <v>976</v>
      </c>
      <c r="B88" s="20">
        <f t="shared" si="13"/>
        <v>27285313.6548</v>
      </c>
      <c r="C88" s="20">
        <f t="shared" si="14"/>
        <v>0</v>
      </c>
      <c r="D88" s="20">
        <f t="shared" si="15"/>
        <v>3258513.1525</v>
      </c>
      <c r="E88" s="20">
        <f t="shared" si="16"/>
        <v>10488284.58</v>
      </c>
      <c r="F88" s="20">
        <f t="shared" si="17"/>
        <v>1248448.462</v>
      </c>
      <c r="G88" s="20">
        <f t="shared" si="18"/>
        <v>0</v>
      </c>
      <c r="H88" s="20">
        <f t="shared" si="19"/>
        <v>1513109.005</v>
      </c>
      <c r="I88" s="20">
        <f t="shared" si="20"/>
        <v>4531912.833</v>
      </c>
      <c r="K88" s="20">
        <f t="shared" si="21"/>
        <v>48325581</v>
      </c>
      <c r="L88" s="20">
        <f>SUM(K88:K90)</f>
        <v>50882445</v>
      </c>
    </row>
    <row r="89" spans="1:11">
      <c r="A89" s="20" t="s">
        <v>977</v>
      </c>
      <c r="B89" s="20">
        <f t="shared" si="13"/>
        <v>0</v>
      </c>
      <c r="C89" s="20">
        <f t="shared" si="14"/>
        <v>0</v>
      </c>
      <c r="D89" s="20">
        <f t="shared" si="15"/>
        <v>0</v>
      </c>
      <c r="E89" s="20">
        <f t="shared" si="16"/>
        <v>0</v>
      </c>
      <c r="F89" s="20">
        <f t="shared" si="17"/>
        <v>0</v>
      </c>
      <c r="G89" s="20">
        <f t="shared" si="18"/>
        <v>0</v>
      </c>
      <c r="H89" s="20">
        <f t="shared" si="19"/>
        <v>0</v>
      </c>
      <c r="I89" s="20">
        <f t="shared" si="20"/>
        <v>0</v>
      </c>
      <c r="K89" s="20">
        <f t="shared" si="21"/>
        <v>0</v>
      </c>
    </row>
    <row r="90" spans="1:11">
      <c r="A90" s="20" t="s">
        <v>978</v>
      </c>
      <c r="B90" s="20">
        <f t="shared" si="13"/>
        <v>2556864.5424</v>
      </c>
      <c r="C90" s="20">
        <f t="shared" si="14"/>
        <v>0</v>
      </c>
      <c r="D90" s="20">
        <f t="shared" si="15"/>
        <v>0</v>
      </c>
      <c r="E90" s="20">
        <f t="shared" si="16"/>
        <v>0</v>
      </c>
      <c r="F90" s="20">
        <f t="shared" si="17"/>
        <v>0</v>
      </c>
      <c r="G90" s="20">
        <f t="shared" si="18"/>
        <v>0</v>
      </c>
      <c r="H90" s="20">
        <f t="shared" si="19"/>
        <v>0</v>
      </c>
      <c r="I90" s="20">
        <f t="shared" si="20"/>
        <v>0</v>
      </c>
      <c r="K90" s="20">
        <f t="shared" si="21"/>
        <v>2556864</v>
      </c>
    </row>
    <row r="91" spans="1:12">
      <c r="A91" s="35" t="s">
        <v>979</v>
      </c>
      <c r="B91" s="20">
        <f t="shared" si="13"/>
        <v>111154.9432</v>
      </c>
      <c r="C91" s="20">
        <f t="shared" si="14"/>
        <v>0</v>
      </c>
      <c r="D91" s="20">
        <f t="shared" si="15"/>
        <v>0</v>
      </c>
      <c r="E91" s="20">
        <f t="shared" si="16"/>
        <v>0</v>
      </c>
      <c r="F91" s="20">
        <f t="shared" si="17"/>
        <v>0</v>
      </c>
      <c r="G91" s="20">
        <f t="shared" si="18"/>
        <v>0</v>
      </c>
      <c r="H91" s="20">
        <f t="shared" si="19"/>
        <v>0</v>
      </c>
      <c r="I91" s="20">
        <f t="shared" si="20"/>
        <v>0</v>
      </c>
      <c r="K91" s="20">
        <f t="shared" si="21"/>
        <v>111154</v>
      </c>
      <c r="L91" s="20">
        <f t="shared" ref="L91:L99" si="23">K91</f>
        <v>111154</v>
      </c>
    </row>
    <row r="92" spans="1:12">
      <c r="A92" s="35" t="s">
        <v>364</v>
      </c>
      <c r="B92" s="20">
        <f t="shared" si="13"/>
        <v>0</v>
      </c>
      <c r="C92" s="20">
        <f t="shared" si="14"/>
        <v>0</v>
      </c>
      <c r="D92" s="20">
        <f t="shared" si="15"/>
        <v>0</v>
      </c>
      <c r="E92" s="20">
        <f t="shared" si="16"/>
        <v>0</v>
      </c>
      <c r="F92" s="20">
        <f t="shared" si="17"/>
        <v>0</v>
      </c>
      <c r="G92" s="20">
        <f t="shared" si="18"/>
        <v>0</v>
      </c>
      <c r="H92" s="20">
        <f t="shared" si="19"/>
        <v>0</v>
      </c>
      <c r="I92" s="20">
        <f t="shared" si="20"/>
        <v>0</v>
      </c>
      <c r="K92" s="20">
        <f t="shared" si="21"/>
        <v>0</v>
      </c>
      <c r="L92" s="20">
        <f t="shared" si="23"/>
        <v>0</v>
      </c>
    </row>
    <row r="93" spans="1:12">
      <c r="A93" s="35" t="s">
        <v>980</v>
      </c>
      <c r="B93" s="20">
        <f t="shared" si="13"/>
        <v>406299.9968</v>
      </c>
      <c r="C93" s="20">
        <f t="shared" si="14"/>
        <v>0</v>
      </c>
      <c r="D93" s="20">
        <f t="shared" si="15"/>
        <v>0</v>
      </c>
      <c r="E93" s="20">
        <f t="shared" si="16"/>
        <v>241493.0825</v>
      </c>
      <c r="F93" s="20">
        <f t="shared" si="17"/>
        <v>86234.066</v>
      </c>
      <c r="G93" s="20">
        <f t="shared" si="18"/>
        <v>0</v>
      </c>
      <c r="H93" s="20">
        <f t="shared" si="19"/>
        <v>0</v>
      </c>
      <c r="I93" s="20">
        <f t="shared" si="20"/>
        <v>0</v>
      </c>
      <c r="K93" s="20">
        <f t="shared" si="21"/>
        <v>734027</v>
      </c>
      <c r="L93" s="20">
        <f t="shared" si="23"/>
        <v>734027</v>
      </c>
    </row>
    <row r="94" spans="1:12">
      <c r="A94" s="35" t="s">
        <v>981</v>
      </c>
      <c r="B94" s="20">
        <f t="shared" si="13"/>
        <v>638787.5704</v>
      </c>
      <c r="C94" s="20">
        <f t="shared" si="14"/>
        <v>0</v>
      </c>
      <c r="D94" s="20">
        <f t="shared" si="15"/>
        <v>0</v>
      </c>
      <c r="E94" s="20">
        <f t="shared" si="16"/>
        <v>173651.362</v>
      </c>
      <c r="F94" s="20">
        <f t="shared" si="17"/>
        <v>0</v>
      </c>
      <c r="G94" s="20">
        <f t="shared" si="18"/>
        <v>0</v>
      </c>
      <c r="H94" s="20">
        <f t="shared" si="19"/>
        <v>0</v>
      </c>
      <c r="I94" s="20">
        <f t="shared" si="20"/>
        <v>0</v>
      </c>
      <c r="K94" s="20">
        <f t="shared" si="21"/>
        <v>812438</v>
      </c>
      <c r="L94" s="20">
        <f t="shared" si="23"/>
        <v>812438</v>
      </c>
    </row>
    <row r="95" spans="1:12">
      <c r="A95" s="35" t="s">
        <v>72</v>
      </c>
      <c r="B95" s="20">
        <f t="shared" si="13"/>
        <v>0</v>
      </c>
      <c r="C95" s="20">
        <f t="shared" si="14"/>
        <v>0</v>
      </c>
      <c r="D95" s="20">
        <f t="shared" si="15"/>
        <v>0</v>
      </c>
      <c r="E95" s="20">
        <f t="shared" si="16"/>
        <v>0</v>
      </c>
      <c r="F95" s="20">
        <f t="shared" si="17"/>
        <v>0</v>
      </c>
      <c r="G95" s="20">
        <f t="shared" si="18"/>
        <v>0</v>
      </c>
      <c r="H95" s="20">
        <f t="shared" si="19"/>
        <v>0</v>
      </c>
      <c r="I95" s="20">
        <f t="shared" si="20"/>
        <v>0</v>
      </c>
      <c r="K95" s="20">
        <f t="shared" si="21"/>
        <v>0</v>
      </c>
      <c r="L95" s="20">
        <f t="shared" si="23"/>
        <v>0</v>
      </c>
    </row>
    <row r="96" spans="1:12">
      <c r="A96" s="35" t="s">
        <v>70</v>
      </c>
      <c r="B96" s="20">
        <f t="shared" si="13"/>
        <v>0</v>
      </c>
      <c r="C96" s="20">
        <f t="shared" si="14"/>
        <v>0</v>
      </c>
      <c r="D96" s="20">
        <f t="shared" si="15"/>
        <v>0</v>
      </c>
      <c r="E96" s="20">
        <f t="shared" si="16"/>
        <v>0</v>
      </c>
      <c r="F96" s="20">
        <f t="shared" si="17"/>
        <v>0</v>
      </c>
      <c r="G96" s="20">
        <f t="shared" si="18"/>
        <v>0</v>
      </c>
      <c r="H96" s="20">
        <f t="shared" si="19"/>
        <v>0</v>
      </c>
      <c r="I96" s="20">
        <f t="shared" si="20"/>
        <v>0</v>
      </c>
      <c r="K96" s="20">
        <f t="shared" si="21"/>
        <v>0</v>
      </c>
      <c r="L96" s="20">
        <f t="shared" si="23"/>
        <v>0</v>
      </c>
    </row>
    <row r="97" spans="1:12">
      <c r="A97" s="35" t="s">
        <v>982</v>
      </c>
      <c r="B97" s="20">
        <f t="shared" si="13"/>
        <v>0</v>
      </c>
      <c r="C97" s="20">
        <f t="shared" si="14"/>
        <v>0</v>
      </c>
      <c r="D97" s="20">
        <f t="shared" si="15"/>
        <v>0</v>
      </c>
      <c r="E97" s="20">
        <f t="shared" si="16"/>
        <v>0</v>
      </c>
      <c r="F97" s="20">
        <f t="shared" si="17"/>
        <v>0</v>
      </c>
      <c r="G97" s="20">
        <f t="shared" si="18"/>
        <v>0</v>
      </c>
      <c r="H97" s="20">
        <f t="shared" si="19"/>
        <v>0</v>
      </c>
      <c r="I97" s="20">
        <f t="shared" si="20"/>
        <v>0</v>
      </c>
      <c r="K97" s="20">
        <f t="shared" si="21"/>
        <v>0</v>
      </c>
      <c r="L97" s="20">
        <f t="shared" si="23"/>
        <v>0</v>
      </c>
    </row>
    <row r="98" spans="1:12">
      <c r="A98" s="20" t="s">
        <v>983</v>
      </c>
      <c r="B98" s="20">
        <f t="shared" si="13"/>
        <v>0</v>
      </c>
      <c r="C98" s="20">
        <f t="shared" si="14"/>
        <v>0</v>
      </c>
      <c r="D98" s="20">
        <f t="shared" si="15"/>
        <v>0</v>
      </c>
      <c r="E98" s="20">
        <f t="shared" si="16"/>
        <v>0</v>
      </c>
      <c r="F98" s="20">
        <f t="shared" si="17"/>
        <v>0</v>
      </c>
      <c r="G98" s="20">
        <f t="shared" si="18"/>
        <v>0</v>
      </c>
      <c r="H98" s="20">
        <f t="shared" si="19"/>
        <v>0</v>
      </c>
      <c r="I98" s="20">
        <f t="shared" si="20"/>
        <v>0</v>
      </c>
      <c r="K98" s="20">
        <f t="shared" si="21"/>
        <v>0</v>
      </c>
      <c r="L98" s="20">
        <f t="shared" si="23"/>
        <v>0</v>
      </c>
    </row>
    <row r="99" spans="1:12">
      <c r="A99" s="35" t="s">
        <v>984</v>
      </c>
      <c r="B99" s="20">
        <f t="shared" si="13"/>
        <v>0</v>
      </c>
      <c r="C99" s="20">
        <f t="shared" si="14"/>
        <v>0</v>
      </c>
      <c r="D99" s="20">
        <f t="shared" si="15"/>
        <v>0</v>
      </c>
      <c r="E99" s="20">
        <f t="shared" si="16"/>
        <v>0</v>
      </c>
      <c r="F99" s="20">
        <f t="shared" si="17"/>
        <v>0</v>
      </c>
      <c r="G99" s="20">
        <f t="shared" si="18"/>
        <v>0</v>
      </c>
      <c r="H99" s="20">
        <f t="shared" si="19"/>
        <v>0</v>
      </c>
      <c r="I99" s="20">
        <f t="shared" si="20"/>
        <v>0</v>
      </c>
      <c r="K99" s="20">
        <f t="shared" si="21"/>
        <v>0</v>
      </c>
      <c r="L99" s="20">
        <f t="shared" si="23"/>
        <v>0</v>
      </c>
    </row>
    <row r="100" spans="1:9">
      <c r="A100" s="20" t="s">
        <v>985</v>
      </c>
      <c r="B100" s="20">
        <f t="shared" si="13"/>
        <v>0</v>
      </c>
      <c r="C100" s="20">
        <f t="shared" si="14"/>
        <v>0</v>
      </c>
      <c r="D100" s="20">
        <f t="shared" si="15"/>
        <v>0</v>
      </c>
      <c r="E100" s="20">
        <f t="shared" si="16"/>
        <v>0</v>
      </c>
      <c r="F100" s="20">
        <f t="shared" si="17"/>
        <v>0</v>
      </c>
      <c r="G100" s="20">
        <f t="shared" si="18"/>
        <v>0</v>
      </c>
      <c r="H100" s="20">
        <f t="shared" si="19"/>
        <v>0</v>
      </c>
      <c r="I100" s="20">
        <f t="shared" si="20"/>
        <v>0</v>
      </c>
    </row>
    <row r="101" spans="9:9">
      <c r="I101" s="20">
        <f>INT(SUM(B71:I100)+(SUM(B71:I100)*8/35*1%*30%+SUM(B71:I100)*8/35*5%*70%)*额外增益统计!D168)</f>
        <v>218225209</v>
      </c>
    </row>
  </sheetData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1"/>
  <sheetViews>
    <sheetView workbookViewId="0">
      <pane xSplit="1" ySplit="1" topLeftCell="B56" activePane="bottomRight" state="frozen"/>
      <selection/>
      <selection pane="topRight"/>
      <selection pane="bottomLeft"/>
      <selection pane="bottomRight" activeCell="B55" sqref="B55"/>
    </sheetView>
  </sheetViews>
  <sheetFormatPr defaultColWidth="9.64166666666667" defaultRowHeight="13.5"/>
  <cols>
    <col min="1" max="1" width="17.25" style="20" customWidth="1"/>
    <col min="2" max="6" width="12.625" style="20"/>
    <col min="7" max="7" width="11.375" style="20" customWidth="1"/>
    <col min="8" max="8" width="9.75" style="20" customWidth="1"/>
    <col min="9" max="9" width="12.875" style="20" customWidth="1"/>
    <col min="10" max="10" width="11.25" style="20" customWidth="1"/>
    <col min="11" max="11" width="12.875" style="20" customWidth="1"/>
    <col min="12" max="12" width="10" style="20" customWidth="1"/>
    <col min="13" max="13" width="14.25" style="20" customWidth="1"/>
    <col min="14" max="14" width="8.875" style="20" customWidth="1"/>
    <col min="15" max="15" width="11.125" style="20" customWidth="1"/>
    <col min="16" max="19" width="12.875" style="20" customWidth="1"/>
    <col min="20" max="20" width="15" style="20" customWidth="1"/>
    <col min="21" max="21" width="12.875" style="20" customWidth="1"/>
    <col min="22" max="27" width="12.625" style="20"/>
    <col min="28" max="28" width="17.125" style="20" customWidth="1"/>
    <col min="29" max="30" width="12.625" style="20"/>
    <col min="31" max="31" width="19.125" style="20" customWidth="1"/>
    <col min="32" max="32" width="13.125" style="20" customWidth="1"/>
    <col min="33" max="33" width="16.25" style="20" customWidth="1"/>
    <col min="34" max="34" width="22.25" style="20" customWidth="1"/>
    <col min="35" max="37" width="12.875" style="20" customWidth="1"/>
    <col min="38" max="38" width="17.125" style="20" customWidth="1"/>
    <col min="39" max="39" width="21.5" style="20" customWidth="1"/>
    <col min="40" max="40" width="11" style="20" customWidth="1"/>
    <col min="41" max="41" width="9" style="20" customWidth="1"/>
    <col min="42" max="16384" width="9.64166666666667" style="20"/>
  </cols>
  <sheetData>
    <row r="1" spans="1:40">
      <c r="A1" s="20">
        <f>'伤害统计(理想)'!A1</f>
        <v>0</v>
      </c>
      <c r="B1" s="20" t="str">
        <f>'伤害统计(理想)'!B1</f>
        <v>基础伤害</v>
      </c>
      <c r="C1" s="20" t="str">
        <f>'伤害统计(理想)'!C1</f>
        <v>基础攻击力</v>
      </c>
      <c r="D1" s="20" t="str">
        <f>'伤害统计(理想)'!D1</f>
        <v>攻击力</v>
      </c>
      <c r="E1" s="20" t="str">
        <f>'伤害统计(理想)'!E1</f>
        <v>攻击系数</v>
      </c>
      <c r="F1" s="20" t="str">
        <f>'伤害统计(理想)'!F1</f>
        <v>技改系数</v>
      </c>
      <c r="G1" s="20" t="str">
        <f>'伤害统计(理想)'!G1</f>
        <v>秘籍加成</v>
      </c>
      <c r="H1" s="20" t="str">
        <f>'伤害统计(理想)'!H1</f>
        <v>奇穴加成</v>
      </c>
      <c r="I1" s="20" t="str">
        <f>'伤害统计(理想)'!I1</f>
        <v>非侠加成</v>
      </c>
      <c r="J1" s="20" t="str">
        <f>'伤害统计(理想)'!J1</f>
        <v>破防值</v>
      </c>
      <c r="K1" s="20" t="str">
        <f>'伤害统计(理想)'!K1</f>
        <v>腰坠破防加成</v>
      </c>
      <c r="L1" s="20" t="str">
        <f>'伤害统计(理想)'!L1</f>
        <v>防御值</v>
      </c>
      <c r="M1" s="20" t="str">
        <f>'伤害统计(理想)'!M1</f>
        <v>无双</v>
      </c>
      <c r="N1" s="20" t="str">
        <f>'伤害统计(理想)'!N1</f>
        <v>等级压制</v>
      </c>
      <c r="O1" s="20" t="str">
        <f>'伤害统计(理想)'!O1</f>
        <v>会心</v>
      </c>
      <c r="P1" s="20" t="str">
        <f>'伤害统计(理想)'!P1</f>
        <v>奇穴会心加成</v>
      </c>
      <c r="Q1" s="20" t="str">
        <f>'伤害统计(理想)'!Q1</f>
        <v>常规最终会心</v>
      </c>
      <c r="R1" s="20" t="str">
        <f>'伤害统计(理想)'!R1</f>
        <v>紫气会心加成</v>
      </c>
      <c r="S1" s="20" t="str">
        <f>'伤害统计(理想)'!S1</f>
        <v>紫气最终会心</v>
      </c>
      <c r="T1" s="20" t="str">
        <f>'伤害统计(理想)'!T1</f>
        <v>会效</v>
      </c>
      <c r="U1" s="20" t="str">
        <f>'伤害统计(理想)'!U1</f>
        <v>奇穴会效加成</v>
      </c>
      <c r="V1" s="20" t="str">
        <f>'伤害统计(理想)'!V1</f>
        <v>常规最终会效</v>
      </c>
      <c r="W1" s="20" t="str">
        <f>'伤害统计(理想)'!W1</f>
        <v>厚亡会效加成</v>
      </c>
      <c r="X1" s="20" t="str">
        <f>'伤害统计(理想)'!X1</f>
        <v>厚亡最终会效</v>
      </c>
      <c r="Y1" s="20" t="str">
        <f>'伤害统计(理想)'!Y1</f>
        <v>紫气会效加成</v>
      </c>
      <c r="Z1" s="20" t="str">
        <f>'伤害统计(理想)'!Z1</f>
        <v>紫气最终会效</v>
      </c>
      <c r="AA1" s="20" t="str">
        <f>'伤害统计(理想)'!AA1</f>
        <v>会神会效加成</v>
      </c>
      <c r="AB1" s="20" t="str">
        <f>'伤害统计(理想)'!AB1</f>
        <v>会神紫气最终会效</v>
      </c>
      <c r="AC1" s="20" t="s">
        <v>947</v>
      </c>
      <c r="AD1" s="20" t="s">
        <v>948</v>
      </c>
      <c r="AE1" s="20" t="s">
        <v>949</v>
      </c>
      <c r="AF1" s="20" t="s">
        <v>950</v>
      </c>
      <c r="AG1" s="20" t="s">
        <v>951</v>
      </c>
      <c r="AH1" s="20" t="s">
        <v>952</v>
      </c>
      <c r="AI1" s="20" t="s">
        <v>953</v>
      </c>
      <c r="AJ1" s="20" t="s">
        <v>954</v>
      </c>
      <c r="AK1" s="20" t="s">
        <v>955</v>
      </c>
      <c r="AL1" s="20" t="s">
        <v>956</v>
      </c>
      <c r="AM1" s="20" t="s">
        <v>957</v>
      </c>
      <c r="AN1" s="20" t="s">
        <v>958</v>
      </c>
    </row>
    <row r="2" spans="1:40">
      <c r="A2" s="20" t="str">
        <f>'伤害统计(理想)'!A2</f>
        <v>万世二段</v>
      </c>
      <c r="B2" s="20">
        <f>'伤害统计(理想)'!B2</f>
        <v>1189</v>
      </c>
      <c r="C2" s="20">
        <f>'伤害统计(理想)'!C2</f>
        <v>34400</v>
      </c>
      <c r="D2" s="8">
        <f>'伤害统计(理想)'!D2+'属性收益计算&amp;备注'!W10</f>
        <v>45864.9473684211</v>
      </c>
      <c r="E2" s="20">
        <f>'伤害统计(理想)'!E2</f>
        <v>2.4325</v>
      </c>
      <c r="F2" s="20">
        <f>'伤害统计(理想)'!F2</f>
        <v>1</v>
      </c>
      <c r="G2" s="20">
        <f>'伤害统计(理想)'!G2</f>
        <v>0.12</v>
      </c>
      <c r="H2" s="20">
        <f>'伤害统计(理想)'!H2</f>
        <v>0.1</v>
      </c>
      <c r="I2" s="20">
        <f>'伤害统计(理想)'!I2</f>
        <v>1.35</v>
      </c>
      <c r="J2" s="20">
        <f>'伤害统计(理想)'!J2</f>
        <v>0.472</v>
      </c>
      <c r="K2" s="20">
        <f>'伤害统计(理想)'!K2</f>
        <v>0.1181</v>
      </c>
      <c r="L2" s="20">
        <f>'伤害统计(理想)'!L2</f>
        <v>0.177214436704937</v>
      </c>
      <c r="M2" s="20">
        <f>'伤害统计(理想)'!M2</f>
        <v>0.3473</v>
      </c>
      <c r="N2" s="20">
        <f>'伤害统计(理想)'!N2</f>
        <v>0.2</v>
      </c>
      <c r="O2" s="8">
        <f>'伤害统计(理想)'!O2+'属性收益计算&amp;备注'!W15</f>
        <v>0.500036</v>
      </c>
      <c r="P2" s="20">
        <f>'伤害统计(理想)'!P2</f>
        <v>0</v>
      </c>
      <c r="Q2" s="20">
        <f>'伤害统计(理想)'!Q2</f>
        <v>0.4994</v>
      </c>
      <c r="R2" s="20">
        <f>'伤害统计(理想)'!R2</f>
        <v>0.2441</v>
      </c>
      <c r="S2" s="20">
        <f>'伤害统计(理想)'!S2</f>
        <v>0.7435</v>
      </c>
      <c r="T2" s="20">
        <f>'伤害统计(理想)'!T2</f>
        <v>2.0895</v>
      </c>
      <c r="U2" s="20">
        <f>'伤害统计(理想)'!U2</f>
        <v>0</v>
      </c>
      <c r="V2" s="20">
        <f>'伤害统计(理想)'!V2</f>
        <v>2.0895</v>
      </c>
      <c r="W2" s="20">
        <f>'伤害统计(理想)'!W2</f>
        <v>0.2441</v>
      </c>
      <c r="X2" s="20">
        <f>'伤害统计(理想)'!X2</f>
        <v>2.3336</v>
      </c>
      <c r="Y2" s="20">
        <f>'伤害统计(理想)'!Y2</f>
        <v>0.2441</v>
      </c>
      <c r="Z2" s="20">
        <f>'伤害统计(理想)'!Z2</f>
        <v>2.3336</v>
      </c>
      <c r="AA2" s="20">
        <f>'伤害统计(理想)'!AA2</f>
        <v>0.1953</v>
      </c>
      <c r="AB2" s="20">
        <f>'伤害统计(理想)'!AB2</f>
        <v>2.5289</v>
      </c>
      <c r="AC2" s="20">
        <f t="shared" ref="AC2:AC32" si="0">INT(INT(B2+D2*E2)*F2*(1+G2+H2)*(1+I2)*(1+J2)*(1-L2)*(1+M2)*(1-N2))</f>
        <v>421999</v>
      </c>
      <c r="AD2" s="20">
        <f t="shared" ref="AD2:AD32" si="1">INT((B2+(D2+C2*50%)*E2)*F2*(1+G2+H2)*(1+I2)*(1+J2)*(1-L2)*(1+M2)*(1-N2))</f>
        <v>578589</v>
      </c>
      <c r="AE2" s="20">
        <f t="shared" ref="AE2:AE32" si="2">INT((B2+(D2+C2*50%)*E2)*F2*(1+G2+H2)*(1+I2)*(1+J2+K2)*(1-L2)*(1+M2)*(1-N2))</f>
        <v>625010</v>
      </c>
      <c r="AF2" s="20">
        <f t="shared" ref="AF2:AF32" si="3">INT(AC2*V2)</f>
        <v>881766</v>
      </c>
      <c r="AG2" s="20">
        <f t="shared" ref="AG2:AG32" si="4">INT(AD2*Z2)</f>
        <v>1350195</v>
      </c>
      <c r="AH2" s="20">
        <f>INT(AE2*Z2)</f>
        <v>1458523</v>
      </c>
      <c r="AI2" s="20">
        <f t="shared" ref="AI2:AI32" si="5">INT((B2+(D2+C2*25%)*E2)*F2*(1+G2+H2)*(1+I2)*(1+J2)*(1-L2)*(1+M2)*(1-N2))</f>
        <v>500295</v>
      </c>
      <c r="AJ2" s="20">
        <f t="shared" ref="AJ2:AJ32" si="6">INT(AI2*X2)</f>
        <v>1167488</v>
      </c>
      <c r="AK2" s="20">
        <f t="shared" ref="AK2:AK32" si="7">INT((B2+(D2+C2*25%)*E2)*F2*(1+G2+H2)*(1+I2)*(1+J2+K2)*(1-L2)*(1+M2)*(1-N2))</f>
        <v>540434</v>
      </c>
      <c r="AL2" s="20">
        <f t="shared" ref="AL2:AL32" si="8">INT(AK2*X2)</f>
        <v>1261156</v>
      </c>
      <c r="AM2" s="20">
        <f t="shared" ref="AM2:AM32" si="9">INT(AD2*AB2)</f>
        <v>1463193</v>
      </c>
      <c r="AN2" s="20">
        <f t="shared" ref="AN2:AN32" si="10">INT(AE2*AB2)</f>
        <v>1580587</v>
      </c>
    </row>
    <row r="3" spans="1:40">
      <c r="A3" s="20" t="str">
        <f>'伤害统计(理想)'!A3</f>
        <v>飞剑1</v>
      </c>
      <c r="B3" s="20">
        <f>'伤害统计(理想)'!B3</f>
        <v>50</v>
      </c>
      <c r="C3" s="20">
        <f>'伤害统计(理想)'!C3</f>
        <v>34400</v>
      </c>
      <c r="D3" s="8">
        <f>D2</f>
        <v>45864.9473684211</v>
      </c>
      <c r="E3" s="20">
        <f>'伤害统计(理想)'!E3</f>
        <v>0.286996875</v>
      </c>
      <c r="F3" s="20">
        <f>'伤害统计(理想)'!F3</f>
        <v>1</v>
      </c>
      <c r="G3" s="20">
        <f>'伤害统计(理想)'!G3</f>
        <v>0.12</v>
      </c>
      <c r="H3" s="20">
        <f>'伤害统计(理想)'!H3</f>
        <v>0.1</v>
      </c>
      <c r="I3" s="20">
        <f>'伤害统计(理想)'!I3</f>
        <v>1.35</v>
      </c>
      <c r="J3" s="20">
        <f>'伤害统计(理想)'!J3</f>
        <v>0.472</v>
      </c>
      <c r="K3" s="20">
        <f>'伤害统计(理想)'!K3</f>
        <v>0.1181</v>
      </c>
      <c r="L3" s="20">
        <f>'伤害统计(理想)'!L3</f>
        <v>0.177214436704937</v>
      </c>
      <c r="M3" s="20">
        <f>'伤害统计(理想)'!M3</f>
        <v>0.3473</v>
      </c>
      <c r="N3" s="20">
        <f>'伤害统计(理想)'!N3</f>
        <v>0.2</v>
      </c>
      <c r="O3" s="8">
        <f>O2</f>
        <v>0.500036</v>
      </c>
      <c r="P3" s="20">
        <f>'伤害统计(理想)'!P3</f>
        <v>0</v>
      </c>
      <c r="Q3" s="20">
        <f>'伤害统计(理想)'!Q3</f>
        <v>0.4994</v>
      </c>
      <c r="R3" s="20">
        <f>'伤害统计(理想)'!R3</f>
        <v>0.2441</v>
      </c>
      <c r="S3" s="20">
        <f>'伤害统计(理想)'!S3</f>
        <v>0.7435</v>
      </c>
      <c r="T3" s="20">
        <f>'伤害统计(理想)'!T3</f>
        <v>2.0895</v>
      </c>
      <c r="U3" s="20">
        <f>'伤害统计(理想)'!U3</f>
        <v>0</v>
      </c>
      <c r="V3" s="20">
        <f>'伤害统计(理想)'!V3</f>
        <v>2.0895</v>
      </c>
      <c r="W3" s="20">
        <f>'伤害统计(理想)'!W3</f>
        <v>0.2441</v>
      </c>
      <c r="X3" s="20">
        <f>'伤害统计(理想)'!X3</f>
        <v>2.3336</v>
      </c>
      <c r="Y3" s="20">
        <f>'伤害统计(理想)'!Y3</f>
        <v>0.2441</v>
      </c>
      <c r="Z3" s="20">
        <f>'伤害统计(理想)'!Z3</f>
        <v>2.3336</v>
      </c>
      <c r="AA3" s="20">
        <f>'伤害统计(理想)'!AA3</f>
        <v>0.1953</v>
      </c>
      <c r="AB3" s="20">
        <f>'伤害统计(理想)'!AB3</f>
        <v>2.5289</v>
      </c>
      <c r="AC3" s="20">
        <f t="shared" si="0"/>
        <v>49451</v>
      </c>
      <c r="AD3" s="20">
        <f t="shared" si="1"/>
        <v>67926</v>
      </c>
      <c r="AE3" s="20">
        <f t="shared" si="2"/>
        <v>73376</v>
      </c>
      <c r="AF3" s="20">
        <f t="shared" si="3"/>
        <v>103327</v>
      </c>
      <c r="AG3" s="20">
        <f t="shared" si="4"/>
        <v>158512</v>
      </c>
      <c r="AH3" s="20">
        <f>INT(AE3*(T3+U3+0.4441+按提示输入属性!D64*0.1953))</f>
        <v>200235</v>
      </c>
      <c r="AI3" s="20">
        <f t="shared" si="5"/>
        <v>58689</v>
      </c>
      <c r="AJ3" s="20">
        <f t="shared" si="6"/>
        <v>136956</v>
      </c>
      <c r="AK3" s="20">
        <f t="shared" si="7"/>
        <v>63397</v>
      </c>
      <c r="AL3" s="20">
        <f t="shared" si="8"/>
        <v>147943</v>
      </c>
      <c r="AM3" s="20">
        <f t="shared" si="9"/>
        <v>171778</v>
      </c>
      <c r="AN3" s="20">
        <f t="shared" si="10"/>
        <v>185560</v>
      </c>
    </row>
    <row r="4" spans="1:40">
      <c r="A4" s="20" t="str">
        <f>'伤害统计(理想)'!A4</f>
        <v>飞剑2</v>
      </c>
      <c r="B4" s="20">
        <f>'伤害统计(理想)'!B4</f>
        <v>50</v>
      </c>
      <c r="C4" s="20">
        <f>'伤害统计(理想)'!C4</f>
        <v>34400</v>
      </c>
      <c r="D4" s="8">
        <f>D2</f>
        <v>45864.9473684211</v>
      </c>
      <c r="E4" s="20">
        <f>'伤害统计(理想)'!E4</f>
        <v>0.286996875</v>
      </c>
      <c r="F4" s="20">
        <f>'伤害统计(理想)'!F4</f>
        <v>1</v>
      </c>
      <c r="G4" s="20">
        <f>'伤害统计(理想)'!G4</f>
        <v>0.12</v>
      </c>
      <c r="H4" s="20">
        <f>'伤害统计(理想)'!H4</f>
        <v>0.25</v>
      </c>
      <c r="I4" s="20">
        <f>'伤害统计(理想)'!I4</f>
        <v>1.35</v>
      </c>
      <c r="J4" s="20">
        <f>'伤害统计(理想)'!J4</f>
        <v>0.472</v>
      </c>
      <c r="K4" s="20">
        <f>'伤害统计(理想)'!K4</f>
        <v>0.1181</v>
      </c>
      <c r="L4" s="20">
        <f>'伤害统计(理想)'!L4</f>
        <v>0.177214436704937</v>
      </c>
      <c r="M4" s="20">
        <f>'伤害统计(理想)'!M4</f>
        <v>0.3473</v>
      </c>
      <c r="N4" s="20">
        <f>'伤害统计(理想)'!N4</f>
        <v>0.2</v>
      </c>
      <c r="O4" s="8">
        <f>O2</f>
        <v>0.500036</v>
      </c>
      <c r="P4" s="20">
        <f>'伤害统计(理想)'!P4</f>
        <v>0</v>
      </c>
      <c r="Q4" s="20">
        <f>'伤害统计(理想)'!Q4</f>
        <v>0.4994</v>
      </c>
      <c r="R4" s="20">
        <f>'伤害统计(理想)'!R4</f>
        <v>0.2441</v>
      </c>
      <c r="S4" s="20">
        <f>'伤害统计(理想)'!S4</f>
        <v>0.7435</v>
      </c>
      <c r="T4" s="20">
        <f>'伤害统计(理想)'!T4</f>
        <v>2.0895</v>
      </c>
      <c r="U4" s="20">
        <f>'伤害统计(理想)'!U4</f>
        <v>0</v>
      </c>
      <c r="V4" s="20">
        <f>'伤害统计(理想)'!V4</f>
        <v>2.0895</v>
      </c>
      <c r="W4" s="20">
        <f>'伤害统计(理想)'!W4</f>
        <v>0.2441</v>
      </c>
      <c r="X4" s="20">
        <f>'伤害统计(理想)'!X4</f>
        <v>2.3336</v>
      </c>
      <c r="Y4" s="20">
        <f>'伤害统计(理想)'!Y4</f>
        <v>0.2441</v>
      </c>
      <c r="Z4" s="20">
        <f>'伤害统计(理想)'!Z4</f>
        <v>2.3336</v>
      </c>
      <c r="AA4" s="20">
        <f>'伤害统计(理想)'!AA4</f>
        <v>0.1953</v>
      </c>
      <c r="AB4" s="20">
        <f>'伤害统计(理想)'!AB4</f>
        <v>2.5289</v>
      </c>
      <c r="AC4" s="20">
        <f t="shared" si="0"/>
        <v>55531</v>
      </c>
      <c r="AD4" s="20">
        <f t="shared" si="1"/>
        <v>76278</v>
      </c>
      <c r="AE4" s="20">
        <f t="shared" si="2"/>
        <v>82398</v>
      </c>
      <c r="AF4" s="20">
        <f t="shared" si="3"/>
        <v>116032</v>
      </c>
      <c r="AG4" s="20">
        <f t="shared" si="4"/>
        <v>178002</v>
      </c>
      <c r="AH4" s="20">
        <f>INT(AE4*(T4+U4+0.4441+按提示输入属性!D64*0.1953))</f>
        <v>224855</v>
      </c>
      <c r="AI4" s="20">
        <f t="shared" si="5"/>
        <v>65905</v>
      </c>
      <c r="AJ4" s="20">
        <f t="shared" si="6"/>
        <v>153795</v>
      </c>
      <c r="AK4" s="20">
        <f t="shared" si="7"/>
        <v>71192</v>
      </c>
      <c r="AL4" s="20">
        <f t="shared" si="8"/>
        <v>166133</v>
      </c>
      <c r="AM4" s="20">
        <f t="shared" si="9"/>
        <v>192899</v>
      </c>
      <c r="AN4" s="20">
        <f t="shared" si="10"/>
        <v>208376</v>
      </c>
    </row>
    <row r="5" spans="1:40">
      <c r="A5" s="20" t="str">
        <f>'伤害统计(理想)'!A5</f>
        <v>飞剑3</v>
      </c>
      <c r="B5" s="20">
        <f>'伤害统计(理想)'!B5</f>
        <v>50</v>
      </c>
      <c r="C5" s="20">
        <f>'伤害统计(理想)'!C5</f>
        <v>34400</v>
      </c>
      <c r="D5" s="8">
        <f>D2</f>
        <v>45864.9473684211</v>
      </c>
      <c r="E5" s="20">
        <f>'伤害统计(理想)'!E5</f>
        <v>0.286996875</v>
      </c>
      <c r="F5" s="20">
        <f>'伤害统计(理想)'!F5</f>
        <v>1</v>
      </c>
      <c r="G5" s="20">
        <f>'伤害统计(理想)'!G5</f>
        <v>0.12</v>
      </c>
      <c r="H5" s="20">
        <f>'伤害统计(理想)'!H5</f>
        <v>0.4</v>
      </c>
      <c r="I5" s="20">
        <f>'伤害统计(理想)'!I5</f>
        <v>1.35</v>
      </c>
      <c r="J5" s="20">
        <f>'伤害统计(理想)'!J5</f>
        <v>0.472</v>
      </c>
      <c r="K5" s="20">
        <f>'伤害统计(理想)'!K5</f>
        <v>0.1181</v>
      </c>
      <c r="L5" s="20">
        <f>'伤害统计(理想)'!L5</f>
        <v>0.177214436704937</v>
      </c>
      <c r="M5" s="20">
        <f>'伤害统计(理想)'!M5</f>
        <v>0.3473</v>
      </c>
      <c r="N5" s="20">
        <f>'伤害统计(理想)'!N5</f>
        <v>0.2</v>
      </c>
      <c r="O5" s="8">
        <f>O2</f>
        <v>0.500036</v>
      </c>
      <c r="P5" s="20">
        <f>'伤害统计(理想)'!P5</f>
        <v>0</v>
      </c>
      <c r="Q5" s="20">
        <f>'伤害统计(理想)'!Q5</f>
        <v>0.4994</v>
      </c>
      <c r="R5" s="20">
        <f>'伤害统计(理想)'!R5</f>
        <v>0.2441</v>
      </c>
      <c r="S5" s="20">
        <f>'伤害统计(理想)'!S5</f>
        <v>0.7435</v>
      </c>
      <c r="T5" s="20">
        <f>'伤害统计(理想)'!T5</f>
        <v>2.0895</v>
      </c>
      <c r="U5" s="20">
        <f>'伤害统计(理想)'!U5</f>
        <v>0</v>
      </c>
      <c r="V5" s="20">
        <f>'伤害统计(理想)'!V5</f>
        <v>2.0895</v>
      </c>
      <c r="W5" s="20">
        <f>'伤害统计(理想)'!W5</f>
        <v>0.2441</v>
      </c>
      <c r="X5" s="20">
        <f>'伤害统计(理想)'!X5</f>
        <v>2.3336</v>
      </c>
      <c r="Y5" s="20">
        <f>'伤害统计(理想)'!Y5</f>
        <v>0.2441</v>
      </c>
      <c r="Z5" s="20">
        <f>'伤害统计(理想)'!Z5</f>
        <v>2.3336</v>
      </c>
      <c r="AA5" s="20">
        <f>'伤害统计(理想)'!AA5</f>
        <v>0.1953</v>
      </c>
      <c r="AB5" s="20">
        <f>'伤害统计(理想)'!AB5</f>
        <v>2.5289</v>
      </c>
      <c r="AC5" s="20">
        <f t="shared" si="0"/>
        <v>61611</v>
      </c>
      <c r="AD5" s="20">
        <f t="shared" si="1"/>
        <v>84629</v>
      </c>
      <c r="AE5" s="20">
        <f t="shared" si="2"/>
        <v>91419</v>
      </c>
      <c r="AF5" s="20">
        <f t="shared" si="3"/>
        <v>128736</v>
      </c>
      <c r="AG5" s="20">
        <f t="shared" si="4"/>
        <v>197490</v>
      </c>
      <c r="AH5" s="20">
        <f>INT(AE5*(T5+U5+0.4441+按提示输入属性!D64*0.1953))</f>
        <v>249473</v>
      </c>
      <c r="AI5" s="20">
        <f t="shared" si="5"/>
        <v>73120</v>
      </c>
      <c r="AJ5" s="20">
        <f t="shared" si="6"/>
        <v>170632</v>
      </c>
      <c r="AK5" s="20">
        <f t="shared" si="7"/>
        <v>78987</v>
      </c>
      <c r="AL5" s="20">
        <f t="shared" si="8"/>
        <v>184324</v>
      </c>
      <c r="AM5" s="20">
        <f t="shared" si="9"/>
        <v>214018</v>
      </c>
      <c r="AN5" s="20">
        <f t="shared" si="10"/>
        <v>231189</v>
      </c>
    </row>
    <row r="6" spans="1:40">
      <c r="A6" s="20" t="str">
        <f>'伤害统计(理想)'!A6</f>
        <v>飞剑4</v>
      </c>
      <c r="B6" s="20">
        <f>'伤害统计(理想)'!B6</f>
        <v>50</v>
      </c>
      <c r="C6" s="20">
        <f>'伤害统计(理想)'!C6</f>
        <v>34400</v>
      </c>
      <c r="D6" s="8">
        <f>D2</f>
        <v>45864.9473684211</v>
      </c>
      <c r="E6" s="20">
        <f>'伤害统计(理想)'!E6</f>
        <v>0.286996875</v>
      </c>
      <c r="F6" s="20">
        <f>'伤害统计(理想)'!F6</f>
        <v>1</v>
      </c>
      <c r="G6" s="20">
        <f>'伤害统计(理想)'!G6</f>
        <v>0.12</v>
      </c>
      <c r="H6" s="20">
        <f>'伤害统计(理想)'!H6</f>
        <v>0.55</v>
      </c>
      <c r="I6" s="20">
        <f>'伤害统计(理想)'!I6</f>
        <v>1.35</v>
      </c>
      <c r="J6" s="20">
        <f>'伤害统计(理想)'!J6</f>
        <v>0.472</v>
      </c>
      <c r="K6" s="20">
        <f>'伤害统计(理想)'!K6</f>
        <v>0.1181</v>
      </c>
      <c r="L6" s="20">
        <f>'伤害统计(理想)'!L6</f>
        <v>0.177214436704937</v>
      </c>
      <c r="M6" s="20">
        <f>'伤害统计(理想)'!M6</f>
        <v>0.3473</v>
      </c>
      <c r="N6" s="20">
        <f>'伤害统计(理想)'!N6</f>
        <v>0.2</v>
      </c>
      <c r="O6" s="8">
        <f>O2</f>
        <v>0.500036</v>
      </c>
      <c r="P6" s="20">
        <f>'伤害统计(理想)'!P6</f>
        <v>0</v>
      </c>
      <c r="Q6" s="20">
        <f>'伤害统计(理想)'!Q6</f>
        <v>0.4994</v>
      </c>
      <c r="R6" s="20">
        <f>'伤害统计(理想)'!R6</f>
        <v>0.2441</v>
      </c>
      <c r="S6" s="20">
        <f>'伤害统计(理想)'!S6</f>
        <v>0.7435</v>
      </c>
      <c r="T6" s="20">
        <f>'伤害统计(理想)'!T6</f>
        <v>2.0895</v>
      </c>
      <c r="U6" s="20">
        <f>'伤害统计(理想)'!U6</f>
        <v>0</v>
      </c>
      <c r="V6" s="20">
        <f>'伤害统计(理想)'!V6</f>
        <v>2.0895</v>
      </c>
      <c r="W6" s="20">
        <f>'伤害统计(理想)'!W6</f>
        <v>0.2441</v>
      </c>
      <c r="X6" s="20">
        <f>'伤害统计(理想)'!X6</f>
        <v>2.3336</v>
      </c>
      <c r="Y6" s="20">
        <f>'伤害统计(理想)'!Y6</f>
        <v>0.2441</v>
      </c>
      <c r="Z6" s="20">
        <f>'伤害统计(理想)'!Z6</f>
        <v>2.3336</v>
      </c>
      <c r="AA6" s="20">
        <f>'伤害统计(理想)'!AA6</f>
        <v>0.1953</v>
      </c>
      <c r="AB6" s="20">
        <f>'伤害统计(理想)'!AB6</f>
        <v>2.5289</v>
      </c>
      <c r="AC6" s="20">
        <f t="shared" si="0"/>
        <v>67691</v>
      </c>
      <c r="AD6" s="20">
        <f t="shared" si="1"/>
        <v>92981</v>
      </c>
      <c r="AE6" s="20">
        <f t="shared" si="2"/>
        <v>100441</v>
      </c>
      <c r="AF6" s="20">
        <f t="shared" si="3"/>
        <v>141440</v>
      </c>
      <c r="AG6" s="20">
        <f t="shared" si="4"/>
        <v>216980</v>
      </c>
      <c r="AH6" s="20">
        <f>INT(AE6*(T6+U6+0.4441+按提示输入属性!D64*0.1953))</f>
        <v>274093</v>
      </c>
      <c r="AI6" s="20">
        <f t="shared" si="5"/>
        <v>80336</v>
      </c>
      <c r="AJ6" s="20">
        <f t="shared" si="6"/>
        <v>187472</v>
      </c>
      <c r="AK6" s="20">
        <f t="shared" si="7"/>
        <v>86782</v>
      </c>
      <c r="AL6" s="20">
        <f t="shared" si="8"/>
        <v>202514</v>
      </c>
      <c r="AM6" s="20">
        <f t="shared" si="9"/>
        <v>235139</v>
      </c>
      <c r="AN6" s="20">
        <f t="shared" si="10"/>
        <v>254005</v>
      </c>
    </row>
    <row r="7" spans="1:40">
      <c r="A7" s="20" t="str">
        <f>'伤害统计(理想)'!A7</f>
        <v>飞剑5</v>
      </c>
      <c r="B7" s="20">
        <f>'伤害统计(理想)'!B7</f>
        <v>50</v>
      </c>
      <c r="C7" s="20">
        <f>'伤害统计(理想)'!C7</f>
        <v>34400</v>
      </c>
      <c r="D7" s="8">
        <f>D2</f>
        <v>45864.9473684211</v>
      </c>
      <c r="E7" s="20">
        <f>'伤害统计(理想)'!E7</f>
        <v>0.286996875</v>
      </c>
      <c r="F7" s="20">
        <f>'伤害统计(理想)'!F7</f>
        <v>1</v>
      </c>
      <c r="G7" s="20">
        <f>'伤害统计(理想)'!G7</f>
        <v>0.12</v>
      </c>
      <c r="H7" s="20">
        <f>'伤害统计(理想)'!H7</f>
        <v>0.7</v>
      </c>
      <c r="I7" s="20">
        <f>'伤害统计(理想)'!I7</f>
        <v>1.35</v>
      </c>
      <c r="J7" s="20">
        <f>'伤害统计(理想)'!J7</f>
        <v>0.472</v>
      </c>
      <c r="K7" s="20">
        <f>'伤害统计(理想)'!K7</f>
        <v>0.1181</v>
      </c>
      <c r="L7" s="20">
        <f>'伤害统计(理想)'!L7</f>
        <v>0.177214436704937</v>
      </c>
      <c r="M7" s="20">
        <f>'伤害统计(理想)'!M7</f>
        <v>0.3473</v>
      </c>
      <c r="N7" s="20">
        <f>'伤害统计(理想)'!N7</f>
        <v>0.2</v>
      </c>
      <c r="O7" s="8">
        <f>O2</f>
        <v>0.500036</v>
      </c>
      <c r="P7" s="20">
        <f>'伤害统计(理想)'!P7</f>
        <v>0</v>
      </c>
      <c r="Q7" s="20">
        <f>'伤害统计(理想)'!Q7</f>
        <v>0.4994</v>
      </c>
      <c r="R7" s="20">
        <f>'伤害统计(理想)'!R7</f>
        <v>0.2441</v>
      </c>
      <c r="S7" s="20">
        <f>'伤害统计(理想)'!S7</f>
        <v>0.7435</v>
      </c>
      <c r="T7" s="20">
        <f>'伤害统计(理想)'!T7</f>
        <v>2.0895</v>
      </c>
      <c r="U7" s="20">
        <f>'伤害统计(理想)'!U7</f>
        <v>0</v>
      </c>
      <c r="V7" s="20">
        <f>'伤害统计(理想)'!V7</f>
        <v>2.0895</v>
      </c>
      <c r="W7" s="20">
        <f>'伤害统计(理想)'!W7</f>
        <v>0.2441</v>
      </c>
      <c r="X7" s="20">
        <f>'伤害统计(理想)'!X7</f>
        <v>2.3336</v>
      </c>
      <c r="Y7" s="20">
        <f>'伤害统计(理想)'!Y7</f>
        <v>0.2441</v>
      </c>
      <c r="Z7" s="20">
        <f>'伤害统计(理想)'!Z7</f>
        <v>2.3336</v>
      </c>
      <c r="AA7" s="20">
        <f>'伤害统计(理想)'!AA7</f>
        <v>0.1953</v>
      </c>
      <c r="AB7" s="20">
        <f>'伤害统计(理想)'!AB7</f>
        <v>2.5289</v>
      </c>
      <c r="AC7" s="20">
        <f t="shared" si="0"/>
        <v>73771</v>
      </c>
      <c r="AD7" s="20">
        <f t="shared" si="1"/>
        <v>101333</v>
      </c>
      <c r="AE7" s="20">
        <f t="shared" si="2"/>
        <v>109463</v>
      </c>
      <c r="AF7" s="20">
        <f t="shared" si="3"/>
        <v>154144</v>
      </c>
      <c r="AG7" s="20">
        <f t="shared" si="4"/>
        <v>236470</v>
      </c>
      <c r="AH7" s="20">
        <f>INT(AE7*(T7+U7+0.4441+按提示输入属性!D64*0.1953))</f>
        <v>298713</v>
      </c>
      <c r="AI7" s="20">
        <f t="shared" si="5"/>
        <v>87552</v>
      </c>
      <c r="AJ7" s="20">
        <f t="shared" si="6"/>
        <v>204311</v>
      </c>
      <c r="AK7" s="20">
        <f t="shared" si="7"/>
        <v>94577</v>
      </c>
      <c r="AL7" s="20">
        <f t="shared" si="8"/>
        <v>220704</v>
      </c>
      <c r="AM7" s="20">
        <f t="shared" si="9"/>
        <v>256261</v>
      </c>
      <c r="AN7" s="20">
        <f t="shared" si="10"/>
        <v>276820</v>
      </c>
    </row>
    <row r="8" s="20" customFormat="1" spans="1:40">
      <c r="A8" s="20" t="str">
        <f>'伤害统计(理想)'!A8</f>
        <v>颠越苍穹击</v>
      </c>
      <c r="B8" s="20">
        <f>'伤害统计(理想)'!B8</f>
        <v>1090</v>
      </c>
      <c r="C8" s="20">
        <f>'伤害统计(理想)'!C8</f>
        <v>34400</v>
      </c>
      <c r="D8" s="8">
        <f>D2</f>
        <v>45864.9473684211</v>
      </c>
      <c r="E8" s="20">
        <f>'伤害统计(理想)'!E8</f>
        <v>0.7239</v>
      </c>
      <c r="F8" s="20">
        <f>'伤害统计(理想)'!F8</f>
        <v>1</v>
      </c>
      <c r="G8" s="20">
        <f>'伤害统计(理想)'!G8</f>
        <v>0</v>
      </c>
      <c r="H8" s="20">
        <f>'伤害统计(理想)'!H8</f>
        <v>0</v>
      </c>
      <c r="I8" s="20">
        <f>'伤害统计(理想)'!I8</f>
        <v>0.05</v>
      </c>
      <c r="J8" s="20">
        <f>'伤害统计(理想)'!J8</f>
        <v>0.472</v>
      </c>
      <c r="K8" s="20">
        <f>'伤害统计(理想)'!K8</f>
        <v>0.1181</v>
      </c>
      <c r="L8" s="20">
        <f>'伤害统计(理想)'!L8</f>
        <v>0.177214436704937</v>
      </c>
      <c r="M8" s="20">
        <f>'伤害统计(理想)'!M8</f>
        <v>0.3473</v>
      </c>
      <c r="N8" s="20">
        <f>'伤害统计(理想)'!N8</f>
        <v>0.2</v>
      </c>
      <c r="O8" s="8">
        <f>O2</f>
        <v>0.500036</v>
      </c>
      <c r="P8" s="20">
        <f>'伤害统计(理想)'!P8</f>
        <v>0</v>
      </c>
      <c r="Q8" s="20">
        <f>'伤害统计(理想)'!Q8</f>
        <v>0.4994</v>
      </c>
      <c r="R8" s="20">
        <f>'伤害统计(理想)'!R8</f>
        <v>0.2441</v>
      </c>
      <c r="S8" s="20">
        <f>'伤害统计(理想)'!S8</f>
        <v>0.7435</v>
      </c>
      <c r="T8" s="20">
        <f>'伤害统计(理想)'!T8</f>
        <v>2.0895</v>
      </c>
      <c r="U8" s="20">
        <f>'伤害统计(理想)'!U8</f>
        <v>0</v>
      </c>
      <c r="V8" s="20">
        <f>'伤害统计(理想)'!V8</f>
        <v>2.0895</v>
      </c>
      <c r="W8" s="20">
        <f>'伤害统计(理想)'!W8</f>
        <v>0.2441</v>
      </c>
      <c r="X8" s="20">
        <f>'伤害统计(理想)'!X8</f>
        <v>2.3336</v>
      </c>
      <c r="Y8" s="20">
        <f>'伤害统计(理想)'!Y8</f>
        <v>0.2441</v>
      </c>
      <c r="Z8" s="20">
        <f>'伤害统计(理想)'!Z8</f>
        <v>2.3336</v>
      </c>
      <c r="AA8" s="20">
        <f>'伤害统计(理想)'!AA8</f>
        <v>0.1953</v>
      </c>
      <c r="AB8" s="20">
        <f>'伤害统计(理想)'!AB8</f>
        <v>2.5289</v>
      </c>
      <c r="AC8" s="20">
        <f t="shared" si="0"/>
        <v>47002</v>
      </c>
      <c r="AD8" s="20">
        <f t="shared" si="1"/>
        <v>64069</v>
      </c>
      <c r="AE8" s="20">
        <f t="shared" si="2"/>
        <v>69209</v>
      </c>
      <c r="AF8" s="20">
        <f t="shared" si="3"/>
        <v>98210</v>
      </c>
      <c r="AG8" s="20">
        <f t="shared" si="4"/>
        <v>149511</v>
      </c>
      <c r="AH8" s="20">
        <f t="shared" ref="AH8:AH14" si="11">INT(AE8*(T8+U8+0.4441))</f>
        <v>175347</v>
      </c>
      <c r="AI8" s="20">
        <f t="shared" si="5"/>
        <v>55536</v>
      </c>
      <c r="AJ8" s="20">
        <f t="shared" si="6"/>
        <v>129598</v>
      </c>
      <c r="AK8" s="20">
        <f t="shared" si="7"/>
        <v>59992</v>
      </c>
      <c r="AL8" s="20">
        <f t="shared" si="8"/>
        <v>139997</v>
      </c>
      <c r="AM8" s="20">
        <f t="shared" si="9"/>
        <v>162024</v>
      </c>
      <c r="AN8" s="20">
        <f t="shared" si="10"/>
        <v>175022</v>
      </c>
    </row>
    <row r="9" s="20" customFormat="1" spans="1:40">
      <c r="A9" s="20" t="str">
        <f>'伤害统计(理想)'!A9</f>
        <v>五方行尽</v>
      </c>
      <c r="B9" s="20">
        <f>'伤害统计(理想)'!B9</f>
        <v>51</v>
      </c>
      <c r="C9" s="20">
        <f>'伤害统计(理想)'!C9</f>
        <v>34400</v>
      </c>
      <c r="D9" s="8">
        <f>D2</f>
        <v>45864.9473684211</v>
      </c>
      <c r="E9" s="20">
        <f>'伤害统计(理想)'!E9</f>
        <v>0.5453</v>
      </c>
      <c r="F9" s="20">
        <f>'伤害统计(理想)'!F9</f>
        <v>1</v>
      </c>
      <c r="G9" s="20">
        <f>'伤害统计(理想)'!G9</f>
        <v>0</v>
      </c>
      <c r="H9" s="20">
        <f>'伤害统计(理想)'!H9</f>
        <v>0</v>
      </c>
      <c r="I9" s="20">
        <f>'伤害统计(理想)'!I9</f>
        <v>0.05</v>
      </c>
      <c r="J9" s="20">
        <f>'伤害统计(理想)'!J9</f>
        <v>0.472</v>
      </c>
      <c r="K9" s="20">
        <f>'伤害统计(理想)'!K9</f>
        <v>0.1181</v>
      </c>
      <c r="L9" s="20">
        <f>'伤害统计(理想)'!L9</f>
        <v>0.177214436704937</v>
      </c>
      <c r="M9" s="20">
        <f>'伤害统计(理想)'!M9</f>
        <v>0.3473</v>
      </c>
      <c r="N9" s="20">
        <f>'伤害统计(理想)'!N9</f>
        <v>0.2</v>
      </c>
      <c r="O9" s="8">
        <f>O2</f>
        <v>0.500036</v>
      </c>
      <c r="P9" s="20">
        <f>'伤害统计(理想)'!P9</f>
        <v>0</v>
      </c>
      <c r="Q9" s="20">
        <f>'伤害统计(理想)'!Q9</f>
        <v>0.4994</v>
      </c>
      <c r="R9" s="20">
        <f>'伤害统计(理想)'!R9</f>
        <v>0.2441</v>
      </c>
      <c r="S9" s="20">
        <f>'伤害统计(理想)'!S9</f>
        <v>0.7435</v>
      </c>
      <c r="T9" s="20">
        <f>'伤害统计(理想)'!T9</f>
        <v>2.0895</v>
      </c>
      <c r="U9" s="20">
        <f>'伤害统计(理想)'!U9</f>
        <v>0</v>
      </c>
      <c r="V9" s="20">
        <f>'伤害统计(理想)'!V9</f>
        <v>2.0895</v>
      </c>
      <c r="W9" s="20">
        <f>'伤害统计(理想)'!W9</f>
        <v>0.2441</v>
      </c>
      <c r="X9" s="20">
        <f>'伤害统计(理想)'!X9</f>
        <v>2.3336</v>
      </c>
      <c r="Y9" s="20">
        <f>'伤害统计(理想)'!Y9</f>
        <v>0.2441</v>
      </c>
      <c r="Z9" s="20">
        <f>'伤害统计(理想)'!Z9</f>
        <v>2.3336</v>
      </c>
      <c r="AA9" s="20">
        <f>'伤害统计(理想)'!AA9</f>
        <v>0.1953</v>
      </c>
      <c r="AB9" s="20">
        <f>'伤害统计(理想)'!AB9</f>
        <v>2.5289</v>
      </c>
      <c r="AC9" s="20">
        <f t="shared" si="0"/>
        <v>34350</v>
      </c>
      <c r="AD9" s="20">
        <f t="shared" si="1"/>
        <v>47206</v>
      </c>
      <c r="AE9" s="20">
        <f t="shared" si="2"/>
        <v>50994</v>
      </c>
      <c r="AF9" s="20">
        <f t="shared" si="3"/>
        <v>71774</v>
      </c>
      <c r="AG9" s="20">
        <f t="shared" si="4"/>
        <v>110159</v>
      </c>
      <c r="AH9" s="20">
        <f t="shared" si="11"/>
        <v>129198</v>
      </c>
      <c r="AI9" s="20">
        <f t="shared" si="5"/>
        <v>40778</v>
      </c>
      <c r="AJ9" s="20">
        <f t="shared" si="6"/>
        <v>95159</v>
      </c>
      <c r="AK9" s="20">
        <f t="shared" si="7"/>
        <v>44050</v>
      </c>
      <c r="AL9" s="20">
        <f t="shared" si="8"/>
        <v>102795</v>
      </c>
      <c r="AM9" s="20">
        <f t="shared" si="9"/>
        <v>119379</v>
      </c>
      <c r="AN9" s="20">
        <f t="shared" si="10"/>
        <v>128958</v>
      </c>
    </row>
    <row r="10" spans="1:40">
      <c r="A10" s="20" t="str">
        <f>'伤害统计(理想)'!A10</f>
        <v>四象轮回</v>
      </c>
      <c r="B10" s="20">
        <f>'伤害统计(理想)'!B10</f>
        <v>1000</v>
      </c>
      <c r="C10" s="20">
        <f>'伤害统计(理想)'!C10</f>
        <v>34400</v>
      </c>
      <c r="D10" s="8">
        <f>D2</f>
        <v>45864.9473684211</v>
      </c>
      <c r="E10" s="20">
        <f>'伤害统计(理想)'!E10</f>
        <v>2.29640625</v>
      </c>
      <c r="F10" s="20">
        <f>'伤害统计(理想)'!F10</f>
        <v>1</v>
      </c>
      <c r="G10" s="20">
        <f>'伤害统计(理想)'!G10</f>
        <v>0</v>
      </c>
      <c r="H10" s="20">
        <f>'伤害统计(理想)'!H10</f>
        <v>0.2</v>
      </c>
      <c r="I10" s="20">
        <f>'伤害统计(理想)'!I10</f>
        <v>0.05</v>
      </c>
      <c r="J10" s="20">
        <f>'伤害统计(理想)'!J10</f>
        <v>0.472</v>
      </c>
      <c r="K10" s="20">
        <f>'伤害统计(理想)'!K10</f>
        <v>0.1181</v>
      </c>
      <c r="L10" s="20">
        <f>'伤害统计(理想)'!L10</f>
        <v>0.177214436704937</v>
      </c>
      <c r="M10" s="20">
        <f>'伤害统计(理想)'!M10</f>
        <v>0.3473</v>
      </c>
      <c r="N10" s="20">
        <f>'伤害统计(理想)'!N10</f>
        <v>0.2</v>
      </c>
      <c r="O10" s="8">
        <f>O2</f>
        <v>0.500036</v>
      </c>
      <c r="P10" s="20">
        <f>'伤害统计(理想)'!P10</f>
        <v>0.17</v>
      </c>
      <c r="Q10" s="20">
        <f>'伤害统计(理想)'!Q10</f>
        <v>0.6694</v>
      </c>
      <c r="R10" s="20">
        <f>'伤害统计(理想)'!R10</f>
        <v>0.2441</v>
      </c>
      <c r="S10" s="20">
        <f>'伤害统计(理想)'!S10</f>
        <v>0.9135</v>
      </c>
      <c r="T10" s="20">
        <f>'伤害统计(理想)'!T10</f>
        <v>2.0895</v>
      </c>
      <c r="U10" s="20">
        <f>'伤害统计(理想)'!U10</f>
        <v>0.1</v>
      </c>
      <c r="V10" s="20">
        <f>'伤害统计(理想)'!V10</f>
        <v>2.1895</v>
      </c>
      <c r="W10" s="20">
        <f>'伤害统计(理想)'!W10</f>
        <v>0.2441</v>
      </c>
      <c r="X10" s="20">
        <f>'伤害统计(理想)'!X10</f>
        <v>2.4336</v>
      </c>
      <c r="Y10" s="20">
        <f>'伤害统计(理想)'!Y10</f>
        <v>0.2441</v>
      </c>
      <c r="Z10" s="20">
        <f>'伤害统计(理想)'!Z10</f>
        <v>2.4336</v>
      </c>
      <c r="AA10" s="20">
        <f>'伤害统计(理想)'!AA10</f>
        <v>0.1953</v>
      </c>
      <c r="AB10" s="20">
        <f>'伤害统计(理想)'!AB10</f>
        <v>2.6289</v>
      </c>
      <c r="AC10" s="20">
        <f t="shared" si="0"/>
        <v>174884</v>
      </c>
      <c r="AD10" s="20">
        <f t="shared" si="1"/>
        <v>239852</v>
      </c>
      <c r="AE10" s="20">
        <f t="shared" si="2"/>
        <v>259096</v>
      </c>
      <c r="AF10" s="20">
        <f t="shared" si="3"/>
        <v>382908</v>
      </c>
      <c r="AG10" s="20">
        <f t="shared" si="4"/>
        <v>583703</v>
      </c>
      <c r="AH10" s="20">
        <f t="shared" si="11"/>
        <v>682355</v>
      </c>
      <c r="AI10" s="20">
        <f t="shared" si="5"/>
        <v>207368</v>
      </c>
      <c r="AJ10" s="20">
        <f t="shared" si="6"/>
        <v>504650</v>
      </c>
      <c r="AK10" s="20">
        <f t="shared" si="7"/>
        <v>224006</v>
      </c>
      <c r="AL10" s="20">
        <f t="shared" si="8"/>
        <v>545141</v>
      </c>
      <c r="AM10" s="20">
        <f t="shared" si="9"/>
        <v>630546</v>
      </c>
      <c r="AN10" s="20">
        <f t="shared" si="10"/>
        <v>681137</v>
      </c>
    </row>
    <row r="11" spans="1:40">
      <c r="A11" s="20" t="str">
        <f>'伤害统计(理想)'!A11</f>
        <v>两仪化形</v>
      </c>
      <c r="B11" s="20">
        <f>'伤害统计(理想)'!B11</f>
        <v>2739</v>
      </c>
      <c r="C11" s="20">
        <f>'伤害统计(理想)'!C11</f>
        <v>34400</v>
      </c>
      <c r="D11" s="8">
        <f>D2</f>
        <v>45864.9473684211</v>
      </c>
      <c r="E11" s="20">
        <f>'伤害统计(理想)'!E11</f>
        <v>2.000625</v>
      </c>
      <c r="F11" s="20">
        <f>'伤害统计(理想)'!F11</f>
        <v>1</v>
      </c>
      <c r="G11" s="20">
        <f>'伤害统计(理想)'!G11</f>
        <v>0.09</v>
      </c>
      <c r="H11" s="20">
        <f>'伤害统计(理想)'!H11</f>
        <v>0.2</v>
      </c>
      <c r="I11" s="20">
        <f>'伤害统计(理想)'!I11</f>
        <v>0.05</v>
      </c>
      <c r="J11" s="20">
        <f>'伤害统计(理想)'!J11</f>
        <v>0.472</v>
      </c>
      <c r="K11" s="20">
        <f>'伤害统计(理想)'!K11</f>
        <v>0.1181</v>
      </c>
      <c r="L11" s="20">
        <f>'伤害统计(理想)'!L11</f>
        <v>0.177214436704937</v>
      </c>
      <c r="M11" s="20">
        <f>'伤害统计(理想)'!M11</f>
        <v>0.3473</v>
      </c>
      <c r="N11" s="20">
        <f>'伤害统计(理想)'!N11</f>
        <v>0.2</v>
      </c>
      <c r="O11" s="8">
        <f>O2</f>
        <v>0.500036</v>
      </c>
      <c r="P11" s="20">
        <f>'伤害统计(理想)'!P11</f>
        <v>0.04</v>
      </c>
      <c r="Q11" s="20">
        <f>'伤害统计(理想)'!Q11</f>
        <v>0.5394</v>
      </c>
      <c r="R11" s="20">
        <f>'伤害统计(理想)'!R11</f>
        <v>0.2441</v>
      </c>
      <c r="S11" s="20">
        <f>'伤害统计(理想)'!S11</f>
        <v>0.7835</v>
      </c>
      <c r="T11" s="20">
        <f>'伤害统计(理想)'!T11</f>
        <v>2.0895</v>
      </c>
      <c r="U11" s="20">
        <f>'伤害统计(理想)'!U11</f>
        <v>0</v>
      </c>
      <c r="V11" s="20">
        <f>'伤害统计(理想)'!V11</f>
        <v>2.0895</v>
      </c>
      <c r="W11" s="20">
        <f>'伤害统计(理想)'!W11</f>
        <v>0.2441</v>
      </c>
      <c r="X11" s="20">
        <f>'伤害统计(理想)'!X11</f>
        <v>2.3336</v>
      </c>
      <c r="Y11" s="20">
        <f>'伤害统计(理想)'!Y11</f>
        <v>0.2441</v>
      </c>
      <c r="Z11" s="20">
        <f>'伤害统计(理想)'!Z11</f>
        <v>2.3336</v>
      </c>
      <c r="AA11" s="20">
        <f>'伤害统计(理想)'!AA11</f>
        <v>0.1953</v>
      </c>
      <c r="AB11" s="20">
        <f>'伤害统计(理想)'!AB11</f>
        <v>2.5289</v>
      </c>
      <c r="AC11" s="20">
        <f t="shared" si="0"/>
        <v>167088</v>
      </c>
      <c r="AD11" s="20">
        <f t="shared" si="1"/>
        <v>227933</v>
      </c>
      <c r="AE11" s="20">
        <f t="shared" si="2"/>
        <v>246221</v>
      </c>
      <c r="AF11" s="20">
        <f t="shared" si="3"/>
        <v>349130</v>
      </c>
      <c r="AG11" s="20">
        <f t="shared" si="4"/>
        <v>531904</v>
      </c>
      <c r="AH11" s="20">
        <f t="shared" si="11"/>
        <v>623825</v>
      </c>
      <c r="AI11" s="20">
        <f t="shared" si="5"/>
        <v>197511</v>
      </c>
      <c r="AJ11" s="20">
        <f t="shared" si="6"/>
        <v>460911</v>
      </c>
      <c r="AK11" s="20">
        <f t="shared" si="7"/>
        <v>213358</v>
      </c>
      <c r="AL11" s="20">
        <f t="shared" si="8"/>
        <v>497892</v>
      </c>
      <c r="AM11" s="20">
        <f t="shared" si="9"/>
        <v>576419</v>
      </c>
      <c r="AN11" s="20">
        <f t="shared" si="10"/>
        <v>622668</v>
      </c>
    </row>
    <row r="12" spans="1:40">
      <c r="A12" s="20" t="str">
        <f>'伤害统计(理想)'!A12</f>
        <v>两仪化形(4</v>
      </c>
      <c r="B12" s="20">
        <f>'伤害统计(理想)'!B12</f>
        <v>2466</v>
      </c>
      <c r="C12" s="20">
        <f>'伤害统计(理想)'!C12</f>
        <v>34400</v>
      </c>
      <c r="D12" s="8">
        <f>D2</f>
        <v>45864.9473684211</v>
      </c>
      <c r="E12" s="20">
        <f>'伤害统计(理想)'!E12</f>
        <v>1.654186908</v>
      </c>
      <c r="F12" s="20">
        <f>'伤害统计(理想)'!F12</f>
        <v>1</v>
      </c>
      <c r="G12" s="20">
        <f>'伤害统计(理想)'!G12</f>
        <v>0.09</v>
      </c>
      <c r="H12" s="20">
        <f>'伤害统计(理想)'!H12</f>
        <v>0.2</v>
      </c>
      <c r="I12" s="20">
        <f>'伤害统计(理想)'!I12</f>
        <v>0.05</v>
      </c>
      <c r="J12" s="20">
        <f>'伤害统计(理想)'!J12</f>
        <v>0.472</v>
      </c>
      <c r="K12" s="20">
        <f>'伤害统计(理想)'!K12</f>
        <v>0.1181</v>
      </c>
      <c r="L12" s="20">
        <f>'伤害统计(理想)'!L12</f>
        <v>0.177214436704937</v>
      </c>
      <c r="M12" s="20">
        <f>'伤害统计(理想)'!M12</f>
        <v>0.3473</v>
      </c>
      <c r="N12" s="20">
        <f>'伤害统计(理想)'!N12</f>
        <v>0.2</v>
      </c>
      <c r="O12" s="8">
        <f>O2</f>
        <v>0.500036</v>
      </c>
      <c r="P12" s="20">
        <f>'伤害统计(理想)'!P12</f>
        <v>0.04</v>
      </c>
      <c r="Q12" s="20">
        <f>'伤害统计(理想)'!Q12</f>
        <v>0.5394</v>
      </c>
      <c r="R12" s="20">
        <f>'伤害统计(理想)'!R12</f>
        <v>0.2441</v>
      </c>
      <c r="S12" s="20">
        <f>'伤害统计(理想)'!S12</f>
        <v>0.7835</v>
      </c>
      <c r="T12" s="20">
        <f>'伤害统计(理想)'!T12</f>
        <v>2.0895</v>
      </c>
      <c r="U12" s="20">
        <f>'伤害统计(理想)'!U12</f>
        <v>0</v>
      </c>
      <c r="V12" s="20">
        <f>'伤害统计(理想)'!V12</f>
        <v>2.0895</v>
      </c>
      <c r="W12" s="20">
        <f>'伤害统计(理想)'!W12</f>
        <v>0.2441</v>
      </c>
      <c r="X12" s="20">
        <f>'伤害统计(理想)'!X12</f>
        <v>2.3336</v>
      </c>
      <c r="Y12" s="20">
        <f>'伤害统计(理想)'!Y12</f>
        <v>0.2441</v>
      </c>
      <c r="Z12" s="20">
        <f>'伤害统计(理想)'!Z12</f>
        <v>2.3336</v>
      </c>
      <c r="AA12" s="20">
        <f>'伤害统计(理想)'!AA12</f>
        <v>0.1953</v>
      </c>
      <c r="AB12" s="20">
        <f>'伤害统计(理想)'!AB12</f>
        <v>2.5289</v>
      </c>
      <c r="AC12" s="20">
        <f t="shared" si="0"/>
        <v>138510</v>
      </c>
      <c r="AD12" s="20">
        <f t="shared" si="1"/>
        <v>188819</v>
      </c>
      <c r="AE12" s="20">
        <f t="shared" si="2"/>
        <v>203968</v>
      </c>
      <c r="AF12" s="20">
        <f t="shared" si="3"/>
        <v>289416</v>
      </c>
      <c r="AG12" s="20">
        <f t="shared" si="4"/>
        <v>440628</v>
      </c>
      <c r="AH12" s="20">
        <f t="shared" si="11"/>
        <v>516773</v>
      </c>
      <c r="AI12" s="20">
        <f t="shared" si="5"/>
        <v>163665</v>
      </c>
      <c r="AJ12" s="20">
        <f t="shared" si="6"/>
        <v>381928</v>
      </c>
      <c r="AK12" s="20">
        <f t="shared" si="7"/>
        <v>176796</v>
      </c>
      <c r="AL12" s="20">
        <f t="shared" si="8"/>
        <v>412571</v>
      </c>
      <c r="AM12" s="20">
        <f t="shared" si="9"/>
        <v>477504</v>
      </c>
      <c r="AN12" s="20">
        <f t="shared" si="10"/>
        <v>515814</v>
      </c>
    </row>
    <row r="13" spans="1:40">
      <c r="A13" s="20" t="str">
        <f>'伤害统计(理想)'!A13</f>
        <v>两仪化形(3.5</v>
      </c>
      <c r="B13" s="20">
        <f>'伤害统计(理想)'!B13</f>
        <v>2191</v>
      </c>
      <c r="C13" s="20">
        <f>'伤害统计(理想)'!C13</f>
        <v>34400</v>
      </c>
      <c r="D13" s="8">
        <f>D2</f>
        <v>45864.9473684211</v>
      </c>
      <c r="E13" s="20">
        <f>'伤害统计(理想)'!E13</f>
        <v>1.4586550308</v>
      </c>
      <c r="F13" s="20">
        <f>'伤害统计(理想)'!F13</f>
        <v>1</v>
      </c>
      <c r="G13" s="20">
        <f>'伤害统计(理想)'!G13</f>
        <v>0.09</v>
      </c>
      <c r="H13" s="20">
        <f>'伤害统计(理想)'!H13</f>
        <v>0.2</v>
      </c>
      <c r="I13" s="20">
        <f>'伤害统计(理想)'!I13</f>
        <v>0.05</v>
      </c>
      <c r="J13" s="20">
        <f>'伤害统计(理想)'!J13</f>
        <v>0.472</v>
      </c>
      <c r="K13" s="20">
        <f>'伤害统计(理想)'!K13</f>
        <v>0.1181</v>
      </c>
      <c r="L13" s="20">
        <f>'伤害统计(理想)'!L13</f>
        <v>0.177214436704937</v>
      </c>
      <c r="M13" s="20">
        <f>'伤害统计(理想)'!M13</f>
        <v>0.3473</v>
      </c>
      <c r="N13" s="20">
        <f>'伤害统计(理想)'!N13</f>
        <v>0.2</v>
      </c>
      <c r="O13" s="8">
        <f>O2</f>
        <v>0.500036</v>
      </c>
      <c r="P13" s="20">
        <f>'伤害统计(理想)'!P13</f>
        <v>0.04</v>
      </c>
      <c r="Q13" s="20">
        <f>'伤害统计(理想)'!Q13</f>
        <v>0.5394</v>
      </c>
      <c r="R13" s="20">
        <f>'伤害统计(理想)'!R13</f>
        <v>0.2441</v>
      </c>
      <c r="S13" s="20">
        <f>'伤害统计(理想)'!S13</f>
        <v>0.7835</v>
      </c>
      <c r="T13" s="20">
        <f>'伤害统计(理想)'!T13</f>
        <v>2.0895</v>
      </c>
      <c r="U13" s="20">
        <f>'伤害统计(理想)'!U13</f>
        <v>0</v>
      </c>
      <c r="V13" s="20">
        <f>'伤害统计(理想)'!V13</f>
        <v>2.0895</v>
      </c>
      <c r="W13" s="20">
        <f>'伤害统计(理想)'!W13</f>
        <v>0.2441</v>
      </c>
      <c r="X13" s="20">
        <f>'伤害统计(理想)'!X13</f>
        <v>2.3336</v>
      </c>
      <c r="Y13" s="20">
        <f>'伤害统计(理想)'!Y13</f>
        <v>0.2441</v>
      </c>
      <c r="Z13" s="20">
        <f>'伤害统计(理想)'!Z13</f>
        <v>2.3336</v>
      </c>
      <c r="AA13" s="20">
        <f>'伤害统计(理想)'!AA13</f>
        <v>0.1953</v>
      </c>
      <c r="AB13" s="20">
        <f>'伤害统计(理想)'!AB13</f>
        <v>2.5289</v>
      </c>
      <c r="AC13" s="20">
        <f t="shared" si="0"/>
        <v>122167</v>
      </c>
      <c r="AD13" s="20">
        <f t="shared" si="1"/>
        <v>166529</v>
      </c>
      <c r="AE13" s="20">
        <f t="shared" si="2"/>
        <v>179890</v>
      </c>
      <c r="AF13" s="20">
        <f t="shared" si="3"/>
        <v>255267</v>
      </c>
      <c r="AG13" s="20">
        <f t="shared" si="4"/>
        <v>388612</v>
      </c>
      <c r="AH13" s="20">
        <f t="shared" si="11"/>
        <v>455769</v>
      </c>
      <c r="AI13" s="20">
        <f t="shared" si="5"/>
        <v>144348</v>
      </c>
      <c r="AJ13" s="20">
        <f t="shared" si="6"/>
        <v>336850</v>
      </c>
      <c r="AK13" s="20">
        <f t="shared" si="7"/>
        <v>155929</v>
      </c>
      <c r="AL13" s="20">
        <f t="shared" si="8"/>
        <v>363875</v>
      </c>
      <c r="AM13" s="20">
        <f t="shared" si="9"/>
        <v>421135</v>
      </c>
      <c r="AN13" s="20">
        <f t="shared" si="10"/>
        <v>454923</v>
      </c>
    </row>
    <row r="14" spans="1:40">
      <c r="A14" s="20" t="str">
        <f>'伤害统计(理想)'!A14</f>
        <v>六合1</v>
      </c>
      <c r="B14" s="20">
        <f>'伤害统计(理想)'!B14</f>
        <v>90</v>
      </c>
      <c r="C14" s="20">
        <f>'伤害统计(理想)'!C14</f>
        <v>34400</v>
      </c>
      <c r="D14" s="8">
        <f>D2</f>
        <v>45864.9473684211</v>
      </c>
      <c r="E14" s="20">
        <f>'伤害统计(理想)'!E14</f>
        <v>0.854167</v>
      </c>
      <c r="F14" s="20">
        <f>'伤害统计(理想)'!F14</f>
        <v>1</v>
      </c>
      <c r="G14" s="20">
        <f>'伤害统计(理想)'!G14</f>
        <v>0</v>
      </c>
      <c r="H14" s="20">
        <f>'伤害统计(理想)'!H14</f>
        <v>0</v>
      </c>
      <c r="I14" s="20">
        <f>'伤害统计(理想)'!I14</f>
        <v>0.05</v>
      </c>
      <c r="J14" s="20">
        <f>'伤害统计(理想)'!J14</f>
        <v>0.472</v>
      </c>
      <c r="K14" s="20">
        <f>'伤害统计(理想)'!K14</f>
        <v>0.1181</v>
      </c>
      <c r="L14" s="20">
        <f>'伤害统计(理想)'!L14</f>
        <v>0.177214436704937</v>
      </c>
      <c r="M14" s="20">
        <f>'伤害统计(理想)'!M14</f>
        <v>0.3473</v>
      </c>
      <c r="N14" s="20">
        <f>'伤害统计(理想)'!N14</f>
        <v>0.2</v>
      </c>
      <c r="O14" s="8">
        <f>O2</f>
        <v>0.500036</v>
      </c>
      <c r="P14" s="20">
        <f>'伤害统计(理想)'!P14</f>
        <v>0</v>
      </c>
      <c r="Q14" s="20">
        <f>'伤害统计(理想)'!Q14</f>
        <v>0.4994</v>
      </c>
      <c r="R14" s="20">
        <f>'伤害统计(理想)'!R14</f>
        <v>0.2441</v>
      </c>
      <c r="S14" s="20">
        <f>'伤害统计(理想)'!S14</f>
        <v>0.7435</v>
      </c>
      <c r="T14" s="20">
        <f>'伤害统计(理想)'!T14</f>
        <v>2.0895</v>
      </c>
      <c r="U14" s="20">
        <f>'伤害统计(理想)'!U14</f>
        <v>0</v>
      </c>
      <c r="V14" s="20">
        <f>'伤害统计(理想)'!V14</f>
        <v>2.0895</v>
      </c>
      <c r="W14" s="20">
        <f>'伤害统计(理想)'!W14</f>
        <v>0.2441</v>
      </c>
      <c r="X14" s="20">
        <f>'伤害统计(理想)'!X14</f>
        <v>2.3336</v>
      </c>
      <c r="Y14" s="20">
        <f>'伤害统计(理想)'!Y14</f>
        <v>0.2441</v>
      </c>
      <c r="Z14" s="20">
        <f>'伤害统计(理想)'!Z14</f>
        <v>2.3336</v>
      </c>
      <c r="AA14" s="20">
        <f>'伤害统计(理想)'!AA14</f>
        <v>0.1953</v>
      </c>
      <c r="AB14" s="20">
        <f>'伤害统计(理想)'!AB14</f>
        <v>2.5289</v>
      </c>
      <c r="AC14" s="20">
        <f t="shared" si="0"/>
        <v>53821</v>
      </c>
      <c r="AD14" s="20">
        <f t="shared" si="1"/>
        <v>73959</v>
      </c>
      <c r="AE14" s="20">
        <f t="shared" si="2"/>
        <v>79893</v>
      </c>
      <c r="AF14" s="20">
        <f t="shared" si="3"/>
        <v>112458</v>
      </c>
      <c r="AG14" s="20">
        <f t="shared" si="4"/>
        <v>172590</v>
      </c>
      <c r="AH14" s="20">
        <f t="shared" si="11"/>
        <v>202416</v>
      </c>
      <c r="AI14" s="20">
        <f t="shared" si="5"/>
        <v>63890</v>
      </c>
      <c r="AJ14" s="20">
        <f t="shared" si="6"/>
        <v>149093</v>
      </c>
      <c r="AK14" s="20">
        <f t="shared" si="7"/>
        <v>69016</v>
      </c>
      <c r="AL14" s="20">
        <f t="shared" si="8"/>
        <v>161055</v>
      </c>
      <c r="AM14" s="20">
        <f t="shared" si="9"/>
        <v>187034</v>
      </c>
      <c r="AN14" s="20">
        <f t="shared" si="10"/>
        <v>202041</v>
      </c>
    </row>
    <row r="15" spans="1:40">
      <c r="A15" s="20" t="str">
        <f>'伤害统计(理想)'!A15</f>
        <v>六合2</v>
      </c>
      <c r="B15" s="20">
        <f>'伤害统计(理想)'!B15</f>
        <v>90</v>
      </c>
      <c r="C15" s="20">
        <f>'伤害统计(理想)'!C15</f>
        <v>34400</v>
      </c>
      <c r="D15" s="8">
        <f>D2</f>
        <v>45864.9473684211</v>
      </c>
      <c r="E15" s="20">
        <f>'伤害统计(理想)'!E15</f>
        <v>0.854167</v>
      </c>
      <c r="F15" s="20">
        <f>'伤害统计(理想)'!F15</f>
        <v>1</v>
      </c>
      <c r="G15" s="20">
        <f>'伤害统计(理想)'!G15</f>
        <v>0</v>
      </c>
      <c r="H15" s="20">
        <f>'伤害统计(理想)'!H15</f>
        <v>0.35</v>
      </c>
      <c r="I15" s="20">
        <f>'伤害统计(理想)'!I15</f>
        <v>0.05</v>
      </c>
      <c r="J15" s="20">
        <f>'伤害统计(理想)'!J15</f>
        <v>0.472</v>
      </c>
      <c r="K15" s="20">
        <f>'伤害统计(理想)'!K15</f>
        <v>0.1181</v>
      </c>
      <c r="L15" s="20">
        <f>'伤害统计(理想)'!L15</f>
        <v>0.177214436704937</v>
      </c>
      <c r="M15" s="20">
        <f>'伤害统计(理想)'!M15</f>
        <v>0.3473</v>
      </c>
      <c r="N15" s="20">
        <f>'伤害统计(理想)'!N15</f>
        <v>0.2</v>
      </c>
      <c r="O15" s="8">
        <f>O2</f>
        <v>0.500036</v>
      </c>
      <c r="P15" s="20">
        <f>'伤害统计(理想)'!P15</f>
        <v>0</v>
      </c>
      <c r="Q15" s="20">
        <f>'伤害统计(理想)'!Q15</f>
        <v>0.4994</v>
      </c>
      <c r="R15" s="20">
        <f>'伤害统计(理想)'!R15</f>
        <v>0.2441</v>
      </c>
      <c r="S15" s="20">
        <f>'伤害统计(理想)'!S15</f>
        <v>0.7435</v>
      </c>
      <c r="T15" s="20">
        <f>'伤害统计(理想)'!T15</f>
        <v>2.0895</v>
      </c>
      <c r="U15" s="20">
        <f>'伤害统计(理想)'!U15</f>
        <v>0</v>
      </c>
      <c r="V15" s="20">
        <f>'伤害统计(理想)'!V15</f>
        <v>2.0895</v>
      </c>
      <c r="W15" s="20">
        <f>'伤害统计(理想)'!W15</f>
        <v>0.2441</v>
      </c>
      <c r="X15" s="20">
        <f>'伤害统计(理想)'!X15</f>
        <v>2.3336</v>
      </c>
      <c r="Y15" s="20">
        <f>'伤害统计(理想)'!Y15</f>
        <v>0.2441</v>
      </c>
      <c r="Z15" s="20">
        <f>'伤害统计(理想)'!Z15</f>
        <v>2.3336</v>
      </c>
      <c r="AA15" s="20">
        <f>'伤害统计(理想)'!AA15</f>
        <v>0.1953</v>
      </c>
      <c r="AB15" s="20">
        <f>'伤害统计(理想)'!AB15</f>
        <v>2.5289</v>
      </c>
      <c r="AC15" s="20">
        <f t="shared" si="0"/>
        <v>72658</v>
      </c>
      <c r="AD15" s="20">
        <f t="shared" si="1"/>
        <v>99845</v>
      </c>
      <c r="AE15" s="20">
        <f t="shared" si="2"/>
        <v>107855</v>
      </c>
      <c r="AF15" s="20">
        <f t="shared" si="3"/>
        <v>151818</v>
      </c>
      <c r="AG15" s="20">
        <f t="shared" si="4"/>
        <v>232998</v>
      </c>
      <c r="AH15" s="20">
        <f>INT(AE15*(T15+U15+0.4441+按提示输入属性!D64*0.1953))</f>
        <v>294325</v>
      </c>
      <c r="AI15" s="20">
        <f t="shared" si="5"/>
        <v>86252</v>
      </c>
      <c r="AJ15" s="20">
        <f t="shared" si="6"/>
        <v>201277</v>
      </c>
      <c r="AK15" s="20">
        <f t="shared" si="7"/>
        <v>93172</v>
      </c>
      <c r="AL15" s="20">
        <f t="shared" si="8"/>
        <v>217426</v>
      </c>
      <c r="AM15" s="20">
        <f t="shared" si="9"/>
        <v>252498</v>
      </c>
      <c r="AN15" s="20">
        <f t="shared" si="10"/>
        <v>272754</v>
      </c>
    </row>
    <row r="16" spans="1:40">
      <c r="A16" s="20" t="str">
        <f>'伤害统计(理想)'!A16</f>
        <v>六合3</v>
      </c>
      <c r="B16" s="20">
        <f>'伤害统计(理想)'!B16</f>
        <v>90</v>
      </c>
      <c r="C16" s="20">
        <f>'伤害统计(理想)'!C16</f>
        <v>34400</v>
      </c>
      <c r="D16" s="8">
        <f>D2</f>
        <v>45864.9473684211</v>
      </c>
      <c r="E16" s="20">
        <f>'伤害统计(理想)'!E16</f>
        <v>0.854167</v>
      </c>
      <c r="F16" s="20">
        <f>'伤害统计(理想)'!F16</f>
        <v>1</v>
      </c>
      <c r="G16" s="20">
        <f>'伤害统计(理想)'!G16</f>
        <v>0</v>
      </c>
      <c r="H16" s="20">
        <f>'伤害统计(理想)'!H16</f>
        <v>0.7</v>
      </c>
      <c r="I16" s="20">
        <f>'伤害统计(理想)'!I16</f>
        <v>0.05</v>
      </c>
      <c r="J16" s="20">
        <f>'伤害统计(理想)'!J16</f>
        <v>0.472</v>
      </c>
      <c r="K16" s="20">
        <f>'伤害统计(理想)'!K16</f>
        <v>0.1181</v>
      </c>
      <c r="L16" s="20">
        <f>'伤害统计(理想)'!L16</f>
        <v>0.177214436704937</v>
      </c>
      <c r="M16" s="20">
        <f>'伤害统计(理想)'!M16</f>
        <v>0.3473</v>
      </c>
      <c r="N16" s="20">
        <f>'伤害统计(理想)'!N16</f>
        <v>0.2</v>
      </c>
      <c r="O16" s="8">
        <f>O2</f>
        <v>0.500036</v>
      </c>
      <c r="P16" s="20">
        <f>'伤害统计(理想)'!P16</f>
        <v>0</v>
      </c>
      <c r="Q16" s="20">
        <f>'伤害统计(理想)'!Q16</f>
        <v>0.4994</v>
      </c>
      <c r="R16" s="20">
        <f>'伤害统计(理想)'!R16</f>
        <v>0.2441</v>
      </c>
      <c r="S16" s="20">
        <f>'伤害统计(理想)'!S16</f>
        <v>0.7435</v>
      </c>
      <c r="T16" s="20">
        <f>'伤害统计(理想)'!T16</f>
        <v>2.0895</v>
      </c>
      <c r="U16" s="20">
        <f>'伤害统计(理想)'!U16</f>
        <v>0</v>
      </c>
      <c r="V16" s="20">
        <f>'伤害统计(理想)'!V16</f>
        <v>2.0895</v>
      </c>
      <c r="W16" s="20">
        <f>'伤害统计(理想)'!W16</f>
        <v>0.2441</v>
      </c>
      <c r="X16" s="20">
        <f>'伤害统计(理想)'!X16</f>
        <v>2.3336</v>
      </c>
      <c r="Y16" s="20">
        <f>'伤害统计(理想)'!Y16</f>
        <v>0.2441</v>
      </c>
      <c r="Z16" s="20">
        <f>'伤害统计(理想)'!Z16</f>
        <v>2.3336</v>
      </c>
      <c r="AA16" s="20">
        <f>'伤害统计(理想)'!AA16</f>
        <v>0.1953</v>
      </c>
      <c r="AB16" s="20">
        <f>'伤害统计(理想)'!AB16</f>
        <v>2.5289</v>
      </c>
      <c r="AC16" s="20">
        <f t="shared" si="0"/>
        <v>91496</v>
      </c>
      <c r="AD16" s="20">
        <f t="shared" si="1"/>
        <v>125731</v>
      </c>
      <c r="AE16" s="20">
        <f t="shared" si="2"/>
        <v>135818</v>
      </c>
      <c r="AF16" s="20">
        <f t="shared" si="3"/>
        <v>191180</v>
      </c>
      <c r="AG16" s="20">
        <f t="shared" si="4"/>
        <v>293405</v>
      </c>
      <c r="AH16" s="20">
        <f>INT(AE16*(T16+U16+0.4441+按提示输入属性!D64*0.1953))</f>
        <v>370633</v>
      </c>
      <c r="AI16" s="20">
        <f t="shared" si="5"/>
        <v>108614</v>
      </c>
      <c r="AJ16" s="20">
        <f t="shared" si="6"/>
        <v>253461</v>
      </c>
      <c r="AK16" s="20">
        <f t="shared" si="7"/>
        <v>117328</v>
      </c>
      <c r="AL16" s="20">
        <f t="shared" si="8"/>
        <v>273796</v>
      </c>
      <c r="AM16" s="20">
        <f t="shared" si="9"/>
        <v>317961</v>
      </c>
      <c r="AN16" s="20">
        <f t="shared" si="10"/>
        <v>343470</v>
      </c>
    </row>
    <row r="17" spans="1:40">
      <c r="A17" s="20" t="str">
        <f>'伤害统计(理想)'!A17</f>
        <v>六合4</v>
      </c>
      <c r="B17" s="20">
        <f>'伤害统计(理想)'!B17</f>
        <v>90</v>
      </c>
      <c r="C17" s="20">
        <f>'伤害统计(理想)'!C17</f>
        <v>34400</v>
      </c>
      <c r="D17" s="8">
        <f>D2</f>
        <v>45864.9473684211</v>
      </c>
      <c r="E17" s="20">
        <f>'伤害统计(理想)'!E17</f>
        <v>0.854167</v>
      </c>
      <c r="F17" s="20">
        <f>'伤害统计(理想)'!F17</f>
        <v>1</v>
      </c>
      <c r="G17" s="20">
        <f>'伤害统计(理想)'!G17</f>
        <v>0</v>
      </c>
      <c r="H17" s="20">
        <f>'伤害统计(理想)'!H17</f>
        <v>1.05</v>
      </c>
      <c r="I17" s="20">
        <f>'伤害统计(理想)'!I17</f>
        <v>0.05</v>
      </c>
      <c r="J17" s="20">
        <f>'伤害统计(理想)'!J17</f>
        <v>0.472</v>
      </c>
      <c r="K17" s="20">
        <f>'伤害统计(理想)'!K17</f>
        <v>0.1181</v>
      </c>
      <c r="L17" s="20">
        <f>'伤害统计(理想)'!L17</f>
        <v>0.177214436704937</v>
      </c>
      <c r="M17" s="20">
        <f>'伤害统计(理想)'!M17</f>
        <v>0.3473</v>
      </c>
      <c r="N17" s="20">
        <f>'伤害统计(理想)'!N17</f>
        <v>0.2</v>
      </c>
      <c r="O17" s="8">
        <f>O2</f>
        <v>0.500036</v>
      </c>
      <c r="P17" s="20">
        <f>'伤害统计(理想)'!P17</f>
        <v>0</v>
      </c>
      <c r="Q17" s="20">
        <f>'伤害统计(理想)'!Q17</f>
        <v>0.4994</v>
      </c>
      <c r="R17" s="20">
        <f>'伤害统计(理想)'!R17</f>
        <v>0.2441</v>
      </c>
      <c r="S17" s="20">
        <f>'伤害统计(理想)'!S17</f>
        <v>0.7435</v>
      </c>
      <c r="T17" s="20">
        <f>'伤害统计(理想)'!T17</f>
        <v>2.0895</v>
      </c>
      <c r="U17" s="20">
        <f>'伤害统计(理想)'!U17</f>
        <v>0</v>
      </c>
      <c r="V17" s="20">
        <f>'伤害统计(理想)'!V17</f>
        <v>2.0895</v>
      </c>
      <c r="W17" s="20">
        <f>'伤害统计(理想)'!W17</f>
        <v>0.2441</v>
      </c>
      <c r="X17" s="20">
        <f>'伤害统计(理想)'!X17</f>
        <v>2.3336</v>
      </c>
      <c r="Y17" s="20">
        <f>'伤害统计(理想)'!Y17</f>
        <v>0.2441</v>
      </c>
      <c r="Z17" s="20">
        <f>'伤害统计(理想)'!Z17</f>
        <v>2.3336</v>
      </c>
      <c r="AA17" s="20">
        <f>'伤害统计(理想)'!AA17</f>
        <v>0.1953</v>
      </c>
      <c r="AB17" s="20">
        <f>'伤害统计(理想)'!AB17</f>
        <v>2.5289</v>
      </c>
      <c r="AC17" s="20">
        <f t="shared" si="0"/>
        <v>110333</v>
      </c>
      <c r="AD17" s="20">
        <f t="shared" si="1"/>
        <v>151616</v>
      </c>
      <c r="AE17" s="20">
        <f t="shared" si="2"/>
        <v>163781</v>
      </c>
      <c r="AF17" s="20">
        <f t="shared" si="3"/>
        <v>230540</v>
      </c>
      <c r="AG17" s="20">
        <f t="shared" si="4"/>
        <v>353811</v>
      </c>
      <c r="AH17" s="20">
        <f>INT(AE17*(T17+U17+0.4441+按提示输入属性!D64*0.1953))</f>
        <v>446941</v>
      </c>
      <c r="AI17" s="20">
        <f t="shared" si="5"/>
        <v>130975</v>
      </c>
      <c r="AJ17" s="20">
        <f t="shared" si="6"/>
        <v>305643</v>
      </c>
      <c r="AK17" s="20">
        <f t="shared" si="7"/>
        <v>141484</v>
      </c>
      <c r="AL17" s="20">
        <f t="shared" si="8"/>
        <v>330167</v>
      </c>
      <c r="AM17" s="20">
        <f t="shared" si="9"/>
        <v>383421</v>
      </c>
      <c r="AN17" s="20">
        <f t="shared" si="10"/>
        <v>414185</v>
      </c>
    </row>
    <row r="18" spans="1:40">
      <c r="A18" s="20" t="str">
        <f>'伤害统计(理想)'!A18</f>
        <v>六合5</v>
      </c>
      <c r="B18" s="20">
        <f>'伤害统计(理想)'!B18</f>
        <v>90</v>
      </c>
      <c r="C18" s="20">
        <f>'伤害统计(理想)'!C18</f>
        <v>34400</v>
      </c>
      <c r="D18" s="8">
        <f>D2</f>
        <v>45864.9473684211</v>
      </c>
      <c r="E18" s="20">
        <f>'伤害统计(理想)'!E18</f>
        <v>0.854167</v>
      </c>
      <c r="F18" s="20">
        <f>'伤害统计(理想)'!F18</f>
        <v>1</v>
      </c>
      <c r="G18" s="20">
        <f>'伤害统计(理想)'!G18</f>
        <v>0</v>
      </c>
      <c r="H18" s="20">
        <f>'伤害统计(理想)'!H18</f>
        <v>1.4</v>
      </c>
      <c r="I18" s="20">
        <f>'伤害统计(理想)'!I18</f>
        <v>0.05</v>
      </c>
      <c r="J18" s="20">
        <f>'伤害统计(理想)'!J18</f>
        <v>0.472</v>
      </c>
      <c r="K18" s="20">
        <f>'伤害统计(理想)'!K18</f>
        <v>0.1181</v>
      </c>
      <c r="L18" s="20">
        <f>'伤害统计(理想)'!L18</f>
        <v>0.177214436704937</v>
      </c>
      <c r="M18" s="20">
        <f>'伤害统计(理想)'!M18</f>
        <v>0.3473</v>
      </c>
      <c r="N18" s="20">
        <f>'伤害统计(理想)'!N18</f>
        <v>0.2</v>
      </c>
      <c r="O18" s="8">
        <f>O2</f>
        <v>0.500036</v>
      </c>
      <c r="P18" s="20">
        <f>'伤害统计(理想)'!P18</f>
        <v>0</v>
      </c>
      <c r="Q18" s="20">
        <f>'伤害统计(理想)'!Q18</f>
        <v>0.4994</v>
      </c>
      <c r="R18" s="20">
        <f>'伤害统计(理想)'!R18</f>
        <v>0.2441</v>
      </c>
      <c r="S18" s="20">
        <f>'伤害统计(理想)'!S18</f>
        <v>0.7435</v>
      </c>
      <c r="T18" s="20">
        <f>'伤害统计(理想)'!T18</f>
        <v>2.0895</v>
      </c>
      <c r="U18" s="20">
        <f>'伤害统计(理想)'!U18</f>
        <v>0</v>
      </c>
      <c r="V18" s="20">
        <f>'伤害统计(理想)'!V18</f>
        <v>2.0895</v>
      </c>
      <c r="W18" s="20">
        <f>'伤害统计(理想)'!W18</f>
        <v>0.2441</v>
      </c>
      <c r="X18" s="20">
        <f>'伤害统计(理想)'!X18</f>
        <v>2.3336</v>
      </c>
      <c r="Y18" s="20">
        <f>'伤害统计(理想)'!Y18</f>
        <v>0.2441</v>
      </c>
      <c r="Z18" s="20">
        <f>'伤害统计(理想)'!Z18</f>
        <v>2.3336</v>
      </c>
      <c r="AA18" s="20">
        <f>'伤害统计(理想)'!AA18</f>
        <v>0.1953</v>
      </c>
      <c r="AB18" s="20">
        <f>'伤害统计(理想)'!AB18</f>
        <v>2.5289</v>
      </c>
      <c r="AC18" s="20">
        <f t="shared" si="0"/>
        <v>129171</v>
      </c>
      <c r="AD18" s="20">
        <f t="shared" si="1"/>
        <v>177502</v>
      </c>
      <c r="AE18" s="20">
        <f t="shared" si="2"/>
        <v>191743</v>
      </c>
      <c r="AF18" s="20">
        <f t="shared" si="3"/>
        <v>269902</v>
      </c>
      <c r="AG18" s="20">
        <f t="shared" si="4"/>
        <v>414218</v>
      </c>
      <c r="AH18" s="20">
        <f>INT(AE18*(T18+U18+0.4441+按提示输入属性!D64*0.1953))</f>
        <v>523247</v>
      </c>
      <c r="AI18" s="20">
        <f t="shared" si="5"/>
        <v>153337</v>
      </c>
      <c r="AJ18" s="20">
        <f t="shared" si="6"/>
        <v>357827</v>
      </c>
      <c r="AK18" s="20">
        <f t="shared" si="7"/>
        <v>165639</v>
      </c>
      <c r="AL18" s="20">
        <f t="shared" si="8"/>
        <v>386535</v>
      </c>
      <c r="AM18" s="20">
        <f t="shared" si="9"/>
        <v>448884</v>
      </c>
      <c r="AN18" s="20">
        <f t="shared" si="10"/>
        <v>484898</v>
      </c>
    </row>
    <row r="19" spans="1:40">
      <c r="A19" s="20" t="str">
        <f>'伤害统计(理想)'!A19</f>
        <v>破</v>
      </c>
      <c r="B19" s="20">
        <f>'伤害统计(理想)'!B19</f>
        <v>0</v>
      </c>
      <c r="C19" s="20">
        <f>'伤害统计(理想)'!C19</f>
        <v>0</v>
      </c>
      <c r="D19" s="20">
        <f>'伤害统计(理想)'!D19</f>
        <v>21804</v>
      </c>
      <c r="E19" s="20">
        <f>'伤害统计(理想)'!E19</f>
        <v>10.94936</v>
      </c>
      <c r="F19" s="20">
        <f>'伤害统计(理想)'!F19</f>
        <v>1</v>
      </c>
      <c r="G19" s="20">
        <f>'伤害统计(理想)'!G19</f>
        <v>0</v>
      </c>
      <c r="H19" s="20">
        <f>'伤害统计(理想)'!H19</f>
        <v>0</v>
      </c>
      <c r="I19" s="20">
        <f>'伤害统计(理想)'!I19</f>
        <v>0.05</v>
      </c>
      <c r="J19" s="20">
        <f>'伤害统计(理想)'!J19</f>
        <v>0.472</v>
      </c>
      <c r="K19" s="20">
        <f>'伤害统计(理想)'!K19</f>
        <v>0.1181</v>
      </c>
      <c r="L19" s="20">
        <f>'伤害统计(理想)'!L19</f>
        <v>0.177214436704937</v>
      </c>
      <c r="M19" s="20">
        <f>'伤害统计(理想)'!M19</f>
        <v>0.3473</v>
      </c>
      <c r="N19" s="20">
        <f>'伤害统计(理想)'!N19</f>
        <v>0.2</v>
      </c>
      <c r="O19" s="8">
        <f>O2</f>
        <v>0.500036</v>
      </c>
      <c r="P19" s="20">
        <f>'伤害统计(理想)'!P19</f>
        <v>0</v>
      </c>
      <c r="Q19" s="20">
        <f>'伤害统计(理想)'!Q19</f>
        <v>0.4994</v>
      </c>
      <c r="R19" s="20">
        <f>'伤害统计(理想)'!R19</f>
        <v>0.2441</v>
      </c>
      <c r="S19" s="20">
        <f>'伤害统计(理想)'!S19</f>
        <v>0.7435</v>
      </c>
      <c r="T19" s="20">
        <f>'伤害统计(理想)'!T19</f>
        <v>2.0895</v>
      </c>
      <c r="U19" s="20">
        <f>'伤害统计(理想)'!U19</f>
        <v>0</v>
      </c>
      <c r="V19" s="20">
        <f>'伤害统计(理想)'!V19</f>
        <v>2.0895</v>
      </c>
      <c r="W19" s="20">
        <f>'伤害统计(理想)'!W19</f>
        <v>0.2441</v>
      </c>
      <c r="X19" s="20">
        <f>'伤害统计(理想)'!X19</f>
        <v>2.3336</v>
      </c>
      <c r="Y19" s="20">
        <f>'伤害统计(理想)'!Y19</f>
        <v>0.2441</v>
      </c>
      <c r="Z19" s="20">
        <f>'伤害统计(理想)'!Z19</f>
        <v>2.3336</v>
      </c>
      <c r="AA19" s="20">
        <f>'伤害统计(理想)'!AA19</f>
        <v>0.1953</v>
      </c>
      <c r="AB19" s="20">
        <f>'伤害统计(理想)'!AB19</f>
        <v>2.5289</v>
      </c>
      <c r="AC19" s="20">
        <f t="shared" si="0"/>
        <v>327236</v>
      </c>
      <c r="AD19" s="20">
        <f t="shared" si="1"/>
        <v>327237</v>
      </c>
      <c r="AE19" s="20">
        <f t="shared" si="2"/>
        <v>353492</v>
      </c>
      <c r="AF19" s="20">
        <f t="shared" si="3"/>
        <v>683759</v>
      </c>
      <c r="AG19" s="20">
        <f t="shared" si="4"/>
        <v>763640</v>
      </c>
      <c r="AH19" s="20">
        <f t="shared" ref="AH19:AH32" si="12">INT(AE19*(T19+U19+0.4441))</f>
        <v>895607</v>
      </c>
      <c r="AI19" s="20">
        <f t="shared" si="5"/>
        <v>327237</v>
      </c>
      <c r="AJ19" s="20">
        <f t="shared" si="6"/>
        <v>763640</v>
      </c>
      <c r="AK19" s="20">
        <f t="shared" si="7"/>
        <v>353492</v>
      </c>
      <c r="AL19" s="20">
        <f t="shared" si="8"/>
        <v>824908</v>
      </c>
      <c r="AM19" s="20">
        <f t="shared" si="9"/>
        <v>827549</v>
      </c>
      <c r="AN19" s="20">
        <f t="shared" si="10"/>
        <v>893945</v>
      </c>
    </row>
    <row r="20" spans="1:40">
      <c r="A20" s="20" t="str">
        <f>'伤害统计(理想)'!A20</f>
        <v>破(3.5</v>
      </c>
      <c r="B20" s="20">
        <f>'伤害统计(理想)'!B20</f>
        <v>0</v>
      </c>
      <c r="C20" s="20">
        <f>'伤害统计(理想)'!C20</f>
        <v>0</v>
      </c>
      <c r="D20" s="20">
        <f>'伤害统计(理想)'!D20</f>
        <v>21804</v>
      </c>
      <c r="E20" s="20">
        <f>'伤害统计(理想)'!E20</f>
        <v>3.9576</v>
      </c>
      <c r="F20" s="20">
        <f>'伤害统计(理想)'!F20</f>
        <v>1</v>
      </c>
      <c r="G20" s="20">
        <f>'伤害统计(理想)'!G20</f>
        <v>0</v>
      </c>
      <c r="H20" s="20">
        <f>'伤害统计(理想)'!H20</f>
        <v>0</v>
      </c>
      <c r="I20" s="20">
        <f>'伤害统计(理想)'!I20</f>
        <v>0.05</v>
      </c>
      <c r="J20" s="20">
        <f>'伤害统计(理想)'!J20</f>
        <v>0.472</v>
      </c>
      <c r="K20" s="20">
        <f>'伤害统计(理想)'!K20</f>
        <v>0.1181</v>
      </c>
      <c r="L20" s="20">
        <f>'伤害统计(理想)'!L20</f>
        <v>0.177214436704937</v>
      </c>
      <c r="M20" s="20">
        <f>'伤害统计(理想)'!M20</f>
        <v>0.3473</v>
      </c>
      <c r="N20" s="20">
        <f>'伤害统计(理想)'!N20</f>
        <v>0.2</v>
      </c>
      <c r="O20" s="8">
        <f>O2</f>
        <v>0.500036</v>
      </c>
      <c r="P20" s="20">
        <f>'伤害统计(理想)'!P20</f>
        <v>0</v>
      </c>
      <c r="Q20" s="20">
        <f>'伤害统计(理想)'!Q20</f>
        <v>0.4994</v>
      </c>
      <c r="R20" s="20">
        <f>'伤害统计(理想)'!R20</f>
        <v>0.2441</v>
      </c>
      <c r="S20" s="20">
        <f>'伤害统计(理想)'!S20</f>
        <v>0.7435</v>
      </c>
      <c r="T20" s="20">
        <f>'伤害统计(理想)'!T20</f>
        <v>2.0895</v>
      </c>
      <c r="U20" s="20">
        <f>'伤害统计(理想)'!U20</f>
        <v>0</v>
      </c>
      <c r="V20" s="20">
        <f>'伤害统计(理想)'!V20</f>
        <v>2.0895</v>
      </c>
      <c r="W20" s="20">
        <f>'伤害统计(理想)'!W20</f>
        <v>0.2441</v>
      </c>
      <c r="X20" s="20">
        <f>'伤害统计(理想)'!X20</f>
        <v>2.3336</v>
      </c>
      <c r="Y20" s="20">
        <f>'伤害统计(理想)'!Y20</f>
        <v>0.2441</v>
      </c>
      <c r="Z20" s="20">
        <f>'伤害统计(理想)'!Z20</f>
        <v>2.3336</v>
      </c>
      <c r="AA20" s="20">
        <f>'伤害统计(理想)'!AA20</f>
        <v>0.1953</v>
      </c>
      <c r="AB20" s="20">
        <f>'伤害统计(理想)'!AB20</f>
        <v>2.5289</v>
      </c>
      <c r="AC20" s="20">
        <f t="shared" si="0"/>
        <v>118277</v>
      </c>
      <c r="AD20" s="20">
        <f t="shared" si="1"/>
        <v>118278</v>
      </c>
      <c r="AE20" s="20">
        <f t="shared" si="2"/>
        <v>127768</v>
      </c>
      <c r="AF20" s="20">
        <f t="shared" si="3"/>
        <v>247139</v>
      </c>
      <c r="AG20" s="20">
        <f t="shared" si="4"/>
        <v>276013</v>
      </c>
      <c r="AH20" s="20">
        <f t="shared" si="12"/>
        <v>323713</v>
      </c>
      <c r="AI20" s="20">
        <f t="shared" si="5"/>
        <v>118278</v>
      </c>
      <c r="AJ20" s="20">
        <f t="shared" si="6"/>
        <v>276013</v>
      </c>
      <c r="AK20" s="20">
        <f t="shared" si="7"/>
        <v>127768</v>
      </c>
      <c r="AL20" s="20">
        <f t="shared" si="8"/>
        <v>298159</v>
      </c>
      <c r="AM20" s="20">
        <f t="shared" si="9"/>
        <v>299113</v>
      </c>
      <c r="AN20" s="20">
        <f t="shared" si="10"/>
        <v>323112</v>
      </c>
    </row>
    <row r="21" spans="1:40">
      <c r="A21" s="20" t="str">
        <f>'伤害统计(理想)'!A21</f>
        <v>破(万世二段</v>
      </c>
      <c r="B21" s="20">
        <f>'伤害统计(理想)'!B21</f>
        <v>0</v>
      </c>
      <c r="C21" s="20">
        <f>'伤害统计(理想)'!C21</f>
        <v>0</v>
      </c>
      <c r="D21" s="20">
        <f>'伤害统计(理想)'!D21</f>
        <v>21804</v>
      </c>
      <c r="E21" s="20">
        <f>'伤害统计(理想)'!E21</f>
        <v>7.9152</v>
      </c>
      <c r="F21" s="20">
        <f>'伤害统计(理想)'!F21</f>
        <v>1</v>
      </c>
      <c r="G21" s="20">
        <f>'伤害统计(理想)'!G21</f>
        <v>0</v>
      </c>
      <c r="H21" s="20">
        <f>'伤害统计(理想)'!H21</f>
        <v>0</v>
      </c>
      <c r="I21" s="20">
        <f>'伤害统计(理想)'!I21</f>
        <v>0.05</v>
      </c>
      <c r="J21" s="20">
        <f>'伤害统计(理想)'!J21</f>
        <v>0.472</v>
      </c>
      <c r="K21" s="20">
        <f>'伤害统计(理想)'!K21</f>
        <v>0.1181</v>
      </c>
      <c r="L21" s="20">
        <f>'伤害统计(理想)'!L21</f>
        <v>0.177214436704937</v>
      </c>
      <c r="M21" s="20">
        <f>'伤害统计(理想)'!M21</f>
        <v>0.3473</v>
      </c>
      <c r="N21" s="20">
        <f>'伤害统计(理想)'!N21</f>
        <v>0.2</v>
      </c>
      <c r="O21" s="8">
        <f>O2</f>
        <v>0.500036</v>
      </c>
      <c r="P21" s="20">
        <f>'伤害统计(理想)'!P21</f>
        <v>0</v>
      </c>
      <c r="Q21" s="20">
        <f>'伤害统计(理想)'!Q21</f>
        <v>0.4994</v>
      </c>
      <c r="R21" s="20">
        <f>'伤害统计(理想)'!R21</f>
        <v>0.2441</v>
      </c>
      <c r="S21" s="20">
        <f>'伤害统计(理想)'!S21</f>
        <v>0.7435</v>
      </c>
      <c r="T21" s="20">
        <f>'伤害统计(理想)'!T21</f>
        <v>2.0895</v>
      </c>
      <c r="U21" s="20">
        <f>'伤害统计(理想)'!U21</f>
        <v>0</v>
      </c>
      <c r="V21" s="20">
        <f>'伤害统计(理想)'!V21</f>
        <v>2.0895</v>
      </c>
      <c r="W21" s="20">
        <f>'伤害统计(理想)'!W21</f>
        <v>0.2441</v>
      </c>
      <c r="X21" s="20">
        <f>'伤害统计(理想)'!X21</f>
        <v>2.3336</v>
      </c>
      <c r="Y21" s="20">
        <f>'伤害统计(理想)'!Y21</f>
        <v>0.2441</v>
      </c>
      <c r="Z21" s="20">
        <f>'伤害统计(理想)'!Z21</f>
        <v>2.3336</v>
      </c>
      <c r="AA21" s="20">
        <f>'伤害统计(理想)'!AA21</f>
        <v>0.1953</v>
      </c>
      <c r="AB21" s="20">
        <f>'伤害统计(理想)'!AB21</f>
        <v>2.5289</v>
      </c>
      <c r="AC21" s="20">
        <f t="shared" si="0"/>
        <v>236557</v>
      </c>
      <c r="AD21" s="20">
        <f t="shared" si="1"/>
        <v>236557</v>
      </c>
      <c r="AE21" s="20">
        <f t="shared" si="2"/>
        <v>255536</v>
      </c>
      <c r="AF21" s="20">
        <f t="shared" si="3"/>
        <v>494285</v>
      </c>
      <c r="AG21" s="20">
        <f t="shared" si="4"/>
        <v>552029</v>
      </c>
      <c r="AH21" s="20">
        <f t="shared" si="12"/>
        <v>647426</v>
      </c>
      <c r="AI21" s="20">
        <f t="shared" si="5"/>
        <v>236557</v>
      </c>
      <c r="AJ21" s="20">
        <f t="shared" si="6"/>
        <v>552029</v>
      </c>
      <c r="AK21" s="20">
        <f t="shared" si="7"/>
        <v>255536</v>
      </c>
      <c r="AL21" s="20">
        <f t="shared" si="8"/>
        <v>596318</v>
      </c>
      <c r="AM21" s="20">
        <f t="shared" si="9"/>
        <v>598228</v>
      </c>
      <c r="AN21" s="20">
        <f t="shared" si="10"/>
        <v>646224</v>
      </c>
    </row>
    <row r="22" spans="1:40">
      <c r="A22" s="20" t="str">
        <f>'伤害统计(理想)'!A22</f>
        <v>三才化生</v>
      </c>
      <c r="B22" s="20">
        <f>'伤害统计(理想)'!B22</f>
        <v>81</v>
      </c>
      <c r="C22" s="20">
        <f>'伤害统计(理想)'!C22</f>
        <v>34400</v>
      </c>
      <c r="D22" s="8">
        <f>D2</f>
        <v>45864.9473684211</v>
      </c>
      <c r="E22" s="20">
        <f>'伤害统计(理想)'!E22</f>
        <v>0.08</v>
      </c>
      <c r="F22" s="20">
        <f>'伤害统计(理想)'!F22</f>
        <v>1</v>
      </c>
      <c r="G22" s="20">
        <f>'伤害统计(理想)'!G22</f>
        <v>0</v>
      </c>
      <c r="H22" s="20">
        <f>'伤害统计(理想)'!H22</f>
        <v>0</v>
      </c>
      <c r="I22" s="20">
        <f>'伤害统计(理想)'!I22</f>
        <v>0.05</v>
      </c>
      <c r="J22" s="20">
        <f>'伤害统计(理想)'!J22</f>
        <v>0.472</v>
      </c>
      <c r="K22" s="20">
        <f>'伤害统计(理想)'!K22</f>
        <v>0.1181</v>
      </c>
      <c r="L22" s="20">
        <f>'伤害统计(理想)'!L22</f>
        <v>0.177214436704937</v>
      </c>
      <c r="M22" s="20">
        <f>'伤害统计(理想)'!M22</f>
        <v>0.3473</v>
      </c>
      <c r="N22" s="20">
        <f>'伤害统计(理想)'!N22</f>
        <v>0.2</v>
      </c>
      <c r="O22" s="8">
        <f>O2</f>
        <v>0.500036</v>
      </c>
      <c r="P22" s="20">
        <f>'伤害统计(理想)'!P22</f>
        <v>0</v>
      </c>
      <c r="Q22" s="20">
        <f>'伤害统计(理想)'!Q22</f>
        <v>0.4994</v>
      </c>
      <c r="R22" s="20">
        <f>'伤害统计(理想)'!R22</f>
        <v>0.2441</v>
      </c>
      <c r="S22" s="20">
        <f>'伤害统计(理想)'!S22</f>
        <v>0.7435</v>
      </c>
      <c r="T22" s="20">
        <f>'伤害统计(理想)'!T22</f>
        <v>2.0895</v>
      </c>
      <c r="U22" s="20">
        <f>'伤害统计(理想)'!U22</f>
        <v>0</v>
      </c>
      <c r="V22" s="20">
        <f>'伤害统计(理想)'!V22</f>
        <v>2.0895</v>
      </c>
      <c r="W22" s="20">
        <f>'伤害统计(理想)'!W22</f>
        <v>0.2441</v>
      </c>
      <c r="X22" s="20">
        <f>'伤害统计(理想)'!X22</f>
        <v>2.3336</v>
      </c>
      <c r="Y22" s="20">
        <f>'伤害统计(理想)'!Y22</f>
        <v>0.2441</v>
      </c>
      <c r="Z22" s="20">
        <f>'伤害统计(理想)'!Z22</f>
        <v>2.3336</v>
      </c>
      <c r="AA22" s="20">
        <f>'伤害统计(理想)'!AA22</f>
        <v>0.1953</v>
      </c>
      <c r="AB22" s="20">
        <f>'伤害统计(理想)'!AB22</f>
        <v>2.5289</v>
      </c>
      <c r="AC22" s="20">
        <f t="shared" si="0"/>
        <v>5140</v>
      </c>
      <c r="AD22" s="20">
        <f t="shared" si="1"/>
        <v>7026</v>
      </c>
      <c r="AE22" s="20">
        <f t="shared" si="2"/>
        <v>7590</v>
      </c>
      <c r="AF22" s="20">
        <f t="shared" si="3"/>
        <v>10740</v>
      </c>
      <c r="AG22" s="20">
        <f t="shared" si="4"/>
        <v>16395</v>
      </c>
      <c r="AH22" s="20">
        <f t="shared" si="12"/>
        <v>19230</v>
      </c>
      <c r="AI22" s="20">
        <f t="shared" si="5"/>
        <v>6083</v>
      </c>
      <c r="AJ22" s="20">
        <f t="shared" si="6"/>
        <v>14195</v>
      </c>
      <c r="AK22" s="20">
        <f t="shared" si="7"/>
        <v>6571</v>
      </c>
      <c r="AL22" s="20">
        <f t="shared" si="8"/>
        <v>15334</v>
      </c>
      <c r="AM22" s="20">
        <f t="shared" si="9"/>
        <v>17768</v>
      </c>
      <c r="AN22" s="20">
        <f t="shared" si="10"/>
        <v>19194</v>
      </c>
    </row>
    <row r="23" spans="1:40">
      <c r="A23" s="20" t="str">
        <f>'伤害统计(理想)'!A23</f>
        <v>厚亡</v>
      </c>
      <c r="B23" s="20">
        <f>'伤害统计(理想)'!B23</f>
        <v>35</v>
      </c>
      <c r="C23" s="20">
        <f>'伤害统计(理想)'!C23</f>
        <v>34400</v>
      </c>
      <c r="D23" s="8">
        <f>D2</f>
        <v>45864.9473684211</v>
      </c>
      <c r="E23" s="20">
        <f>'伤害统计(理想)'!E23</f>
        <v>1.625</v>
      </c>
      <c r="F23" s="20">
        <f>'伤害统计(理想)'!F23</f>
        <v>1</v>
      </c>
      <c r="G23" s="20">
        <f>'伤害统计(理想)'!G23</f>
        <v>0</v>
      </c>
      <c r="H23" s="20">
        <f>'伤害统计(理想)'!H23</f>
        <v>0</v>
      </c>
      <c r="I23" s="20">
        <f>'伤害统计(理想)'!I23</f>
        <v>0.05</v>
      </c>
      <c r="J23" s="20">
        <f>'伤害统计(理想)'!J23</f>
        <v>0.472</v>
      </c>
      <c r="K23" s="20">
        <f>'伤害统计(理想)'!K23</f>
        <v>0.1181</v>
      </c>
      <c r="L23" s="20">
        <f>'伤害统计(理想)'!L23</f>
        <v>0.177214436704937</v>
      </c>
      <c r="M23" s="20">
        <f>'伤害统计(理想)'!M23</f>
        <v>0.3473</v>
      </c>
      <c r="N23" s="20">
        <f>'伤害统计(理想)'!N23</f>
        <v>0.2</v>
      </c>
      <c r="O23" s="8">
        <f>O2</f>
        <v>0.500036</v>
      </c>
      <c r="P23" s="20">
        <f>'伤害统计(理想)'!P23</f>
        <v>0</v>
      </c>
      <c r="Q23" s="20">
        <f>'伤害统计(理想)'!Q23</f>
        <v>0.4994</v>
      </c>
      <c r="R23" s="20">
        <f>'伤害统计(理想)'!R23</f>
        <v>0.2441</v>
      </c>
      <c r="S23" s="20">
        <f>'伤害统计(理想)'!S23</f>
        <v>0.7435</v>
      </c>
      <c r="T23" s="20">
        <f>'伤害统计(理想)'!T23</f>
        <v>2.0895</v>
      </c>
      <c r="U23" s="20">
        <f>'伤害统计(理想)'!U23</f>
        <v>0</v>
      </c>
      <c r="V23" s="20">
        <f>'伤害统计(理想)'!V23</f>
        <v>2.0895</v>
      </c>
      <c r="W23" s="20">
        <f>'伤害统计(理想)'!W23</f>
        <v>0.2441</v>
      </c>
      <c r="X23" s="20">
        <f>'伤害统计(理想)'!X23</f>
        <v>2.3336</v>
      </c>
      <c r="Y23" s="20">
        <f>'伤害统计(理想)'!Y23</f>
        <v>0.2441</v>
      </c>
      <c r="Z23" s="20">
        <f>'伤害统计(理想)'!Z23</f>
        <v>2.3336</v>
      </c>
      <c r="AA23" s="20">
        <f>'伤害统计(理想)'!AA23</f>
        <v>0.1953</v>
      </c>
      <c r="AB23" s="20">
        <f>'伤害统计(理想)'!AB23</f>
        <v>2.5289</v>
      </c>
      <c r="AC23" s="20">
        <f t="shared" si="0"/>
        <v>102205</v>
      </c>
      <c r="AD23" s="20">
        <f t="shared" si="1"/>
        <v>140516</v>
      </c>
      <c r="AE23" s="20">
        <f t="shared" si="2"/>
        <v>151790</v>
      </c>
      <c r="AF23" s="20">
        <f t="shared" si="3"/>
        <v>213557</v>
      </c>
      <c r="AG23" s="20">
        <f t="shared" si="4"/>
        <v>327908</v>
      </c>
      <c r="AH23" s="20">
        <f t="shared" si="12"/>
        <v>384575</v>
      </c>
      <c r="AI23" s="20">
        <f t="shared" si="5"/>
        <v>121361</v>
      </c>
      <c r="AJ23" s="20">
        <f t="shared" si="6"/>
        <v>283208</v>
      </c>
      <c r="AK23" s="20">
        <f t="shared" si="7"/>
        <v>131098</v>
      </c>
      <c r="AL23" s="20">
        <f t="shared" si="8"/>
        <v>305930</v>
      </c>
      <c r="AM23" s="20">
        <f t="shared" si="9"/>
        <v>355350</v>
      </c>
      <c r="AN23" s="20">
        <f t="shared" si="10"/>
        <v>383861</v>
      </c>
    </row>
    <row r="24" spans="1:40">
      <c r="A24" s="20" t="str">
        <f>'伤害统计(理想)'!A24</f>
        <v>刃凌</v>
      </c>
      <c r="B24" s="20">
        <f>'伤害统计(理想)'!B24</f>
        <v>48</v>
      </c>
      <c r="C24" s="20">
        <f>'伤害统计(理想)'!C24</f>
        <v>34400</v>
      </c>
      <c r="D24" s="8">
        <f>D2</f>
        <v>45864.9473684211</v>
      </c>
      <c r="E24" s="20">
        <f>'伤害统计(理想)'!E24</f>
        <v>0.260417</v>
      </c>
      <c r="F24" s="20">
        <f>'伤害统计(理想)'!F24</f>
        <v>1</v>
      </c>
      <c r="G24" s="20">
        <f>'伤害统计(理想)'!G24</f>
        <v>0</v>
      </c>
      <c r="H24" s="20">
        <f>'伤害统计(理想)'!H24</f>
        <v>0</v>
      </c>
      <c r="I24" s="20">
        <f>'伤害统计(理想)'!I24</f>
        <v>0.05</v>
      </c>
      <c r="J24" s="20">
        <f>'伤害统计(理想)'!J24</f>
        <v>0.472</v>
      </c>
      <c r="K24" s="20">
        <f>'伤害统计(理想)'!K24</f>
        <v>0.1181</v>
      </c>
      <c r="L24" s="20">
        <f>'伤害统计(理想)'!L24</f>
        <v>0.177214436704937</v>
      </c>
      <c r="M24" s="20">
        <f>'伤害统计(理想)'!M24</f>
        <v>0.3473</v>
      </c>
      <c r="N24" s="20">
        <f>'伤害统计(理想)'!N24</f>
        <v>0.2</v>
      </c>
      <c r="O24" s="8">
        <f>O2</f>
        <v>0.500036</v>
      </c>
      <c r="P24" s="20">
        <f>'伤害统计(理想)'!P24</f>
        <v>0</v>
      </c>
      <c r="Q24" s="20">
        <f>'伤害统计(理想)'!Q24</f>
        <v>0.4994</v>
      </c>
      <c r="R24" s="20">
        <f>'伤害统计(理想)'!R24</f>
        <v>0.2441</v>
      </c>
      <c r="S24" s="20">
        <f>'伤害统计(理想)'!S24</f>
        <v>0.7435</v>
      </c>
      <c r="T24" s="20">
        <f>'伤害统计(理想)'!T24</f>
        <v>2.0895</v>
      </c>
      <c r="U24" s="20">
        <f>'伤害统计(理想)'!U24</f>
        <v>0</v>
      </c>
      <c r="V24" s="20">
        <f>'伤害统计(理想)'!V24</f>
        <v>2.0895</v>
      </c>
      <c r="W24" s="20">
        <f>'伤害统计(理想)'!W24</f>
        <v>0.2441</v>
      </c>
      <c r="X24" s="20">
        <f>'伤害统计(理想)'!X24</f>
        <v>2.3336</v>
      </c>
      <c r="Y24" s="20">
        <f>'伤害统计(理想)'!Y24</f>
        <v>0.2441</v>
      </c>
      <c r="Z24" s="20">
        <f>'伤害统计(理想)'!Z24</f>
        <v>2.3336</v>
      </c>
      <c r="AA24" s="20">
        <f>'伤害统计(理想)'!AA24</f>
        <v>0.1953</v>
      </c>
      <c r="AB24" s="20">
        <f>'伤害统计(理想)'!AB24</f>
        <v>2.5289</v>
      </c>
      <c r="AC24" s="20">
        <f t="shared" si="0"/>
        <v>16437</v>
      </c>
      <c r="AD24" s="20">
        <f t="shared" si="1"/>
        <v>22576</v>
      </c>
      <c r="AE24" s="20">
        <f t="shared" si="2"/>
        <v>24388</v>
      </c>
      <c r="AF24" s="20">
        <f t="shared" si="3"/>
        <v>34345</v>
      </c>
      <c r="AG24" s="20">
        <f t="shared" si="4"/>
        <v>52683</v>
      </c>
      <c r="AH24" s="20">
        <f t="shared" si="12"/>
        <v>61789</v>
      </c>
      <c r="AI24" s="20">
        <f t="shared" si="5"/>
        <v>19507</v>
      </c>
      <c r="AJ24" s="20">
        <f t="shared" si="6"/>
        <v>45521</v>
      </c>
      <c r="AK24" s="20">
        <f t="shared" si="7"/>
        <v>21072</v>
      </c>
      <c r="AL24" s="20">
        <f t="shared" si="8"/>
        <v>49173</v>
      </c>
      <c r="AM24" s="20">
        <f t="shared" si="9"/>
        <v>57092</v>
      </c>
      <c r="AN24" s="20">
        <f t="shared" si="10"/>
        <v>61674</v>
      </c>
    </row>
    <row r="25" spans="1:40">
      <c r="A25" s="20" t="str">
        <f>'伤害统计(理想)'!A25</f>
        <v>昆吾·弦刃</v>
      </c>
      <c r="B25" s="20">
        <f>'伤害统计(理想)'!B25</f>
        <v>48</v>
      </c>
      <c r="C25" s="20">
        <f>'伤害统计(理想)'!C25</f>
        <v>34400</v>
      </c>
      <c r="D25" s="8">
        <f>D2</f>
        <v>45864.9473684211</v>
      </c>
      <c r="E25" s="20">
        <f>'伤害统计(理想)'!E25</f>
        <v>0.46875</v>
      </c>
      <c r="F25" s="20">
        <f>'伤害统计(理想)'!F25</f>
        <v>1</v>
      </c>
      <c r="G25" s="20">
        <f>'伤害统计(理想)'!G25</f>
        <v>0</v>
      </c>
      <c r="H25" s="20">
        <f>'伤害统计(理想)'!H25</f>
        <v>0</v>
      </c>
      <c r="I25" s="20">
        <f>'伤害统计(理想)'!I25</f>
        <v>0.05</v>
      </c>
      <c r="J25" s="20">
        <f>'伤害统计(理想)'!J25</f>
        <v>0.472</v>
      </c>
      <c r="K25" s="20">
        <f>'伤害统计(理想)'!K25</f>
        <v>0.1181</v>
      </c>
      <c r="L25" s="20">
        <f>'伤害统计(理想)'!L25</f>
        <v>0.177214436704937</v>
      </c>
      <c r="M25" s="20">
        <f>'伤害统计(理想)'!M25</f>
        <v>0.3473</v>
      </c>
      <c r="N25" s="20">
        <f>'伤害统计(理想)'!N25</f>
        <v>0.2</v>
      </c>
      <c r="O25" s="8">
        <f>O2</f>
        <v>0.500036</v>
      </c>
      <c r="P25" s="20">
        <f>'伤害统计(理想)'!P25</f>
        <v>0</v>
      </c>
      <c r="Q25" s="20">
        <f>'伤害统计(理想)'!Q25</f>
        <v>0.4994</v>
      </c>
      <c r="R25" s="20">
        <f>'伤害统计(理想)'!R25</f>
        <v>0.2441</v>
      </c>
      <c r="S25" s="20">
        <f>'伤害统计(理想)'!S25</f>
        <v>0.7435</v>
      </c>
      <c r="T25" s="20">
        <f>'伤害统计(理想)'!T25</f>
        <v>2.0895</v>
      </c>
      <c r="U25" s="20">
        <f>'伤害统计(理想)'!U25</f>
        <v>0</v>
      </c>
      <c r="V25" s="20">
        <f>'伤害统计(理想)'!V25</f>
        <v>2.0895</v>
      </c>
      <c r="W25" s="20">
        <f>'伤害统计(理想)'!W25</f>
        <v>0.2441</v>
      </c>
      <c r="X25" s="20">
        <f>'伤害统计(理想)'!X25</f>
        <v>2.3336</v>
      </c>
      <c r="Y25" s="20">
        <f>'伤害统计(理想)'!Y25</f>
        <v>0.2441</v>
      </c>
      <c r="Z25" s="20">
        <f>'伤害统计(理想)'!Z25</f>
        <v>2.3336</v>
      </c>
      <c r="AA25" s="20">
        <f>'伤害统计(理想)'!AA25</f>
        <v>0.1953</v>
      </c>
      <c r="AB25" s="20">
        <f>'伤害统计(理想)'!AB25</f>
        <v>2.5289</v>
      </c>
      <c r="AC25" s="20">
        <f t="shared" si="0"/>
        <v>29534</v>
      </c>
      <c r="AD25" s="20">
        <f t="shared" si="1"/>
        <v>40585</v>
      </c>
      <c r="AE25" s="20">
        <f t="shared" si="2"/>
        <v>43841</v>
      </c>
      <c r="AF25" s="20">
        <f t="shared" si="3"/>
        <v>61711</v>
      </c>
      <c r="AG25" s="20">
        <f t="shared" si="4"/>
        <v>94709</v>
      </c>
      <c r="AH25" s="20">
        <f t="shared" si="12"/>
        <v>111075</v>
      </c>
      <c r="AI25" s="20">
        <f t="shared" si="5"/>
        <v>35060</v>
      </c>
      <c r="AJ25" s="20">
        <f t="shared" si="6"/>
        <v>81816</v>
      </c>
      <c r="AK25" s="20">
        <f t="shared" si="7"/>
        <v>37872</v>
      </c>
      <c r="AL25" s="20">
        <f t="shared" si="8"/>
        <v>88378</v>
      </c>
      <c r="AM25" s="20">
        <f t="shared" si="9"/>
        <v>102635</v>
      </c>
      <c r="AN25" s="20">
        <f t="shared" si="10"/>
        <v>110869</v>
      </c>
    </row>
    <row r="26" spans="1:40">
      <c r="A26" s="20" t="str">
        <f>'伤害统计(理想)'!A26</f>
        <v>腾空·三才</v>
      </c>
      <c r="B26" s="20">
        <f>'伤害统计(理想)'!B26</f>
        <v>550865</v>
      </c>
      <c r="C26" s="20">
        <f>'伤害统计(理想)'!C26</f>
        <v>34400</v>
      </c>
      <c r="D26" s="8">
        <f>'伤害统计(理想)'!D26</f>
        <v>0</v>
      </c>
      <c r="E26" s="20">
        <f>'伤害统计(理想)'!E26</f>
        <v>1</v>
      </c>
      <c r="F26" s="20">
        <f>'伤害统计(理想)'!F26</f>
        <v>1</v>
      </c>
      <c r="G26" s="20">
        <f>'伤害统计(理想)'!G26</f>
        <v>0</v>
      </c>
      <c r="H26" s="20">
        <f>'伤害统计(理想)'!H26</f>
        <v>0</v>
      </c>
      <c r="I26" s="20">
        <f>'伤害统计(理想)'!I26</f>
        <v>0.05</v>
      </c>
      <c r="J26" s="20">
        <f>'伤害统计(理想)'!J26</f>
        <v>0.472</v>
      </c>
      <c r="K26" s="20">
        <f>'伤害统计(理想)'!K26</f>
        <v>0.1181</v>
      </c>
      <c r="L26" s="20">
        <f>'伤害统计(理想)'!L26</f>
        <v>0.177214436704937</v>
      </c>
      <c r="M26" s="20">
        <f>'伤害统计(理想)'!M26</f>
        <v>0.3473</v>
      </c>
      <c r="N26" s="20">
        <f>'伤害统计(理想)'!N26</f>
        <v>0.2</v>
      </c>
      <c r="O26" s="8">
        <f>O2</f>
        <v>0.500036</v>
      </c>
      <c r="P26" s="20">
        <f>'伤害统计(理想)'!P26</f>
        <v>0</v>
      </c>
      <c r="Q26" s="20">
        <f>'伤害统计(理想)'!Q26</f>
        <v>0.4994</v>
      </c>
      <c r="R26" s="20">
        <f>'伤害统计(理想)'!R26</f>
        <v>0.2441</v>
      </c>
      <c r="S26" s="20">
        <f>'伤害统计(理想)'!S26</f>
        <v>0.7435</v>
      </c>
      <c r="T26" s="20">
        <f>'伤害统计(理想)'!T26</f>
        <v>2.0895</v>
      </c>
      <c r="U26" s="20">
        <f>'伤害统计(理想)'!U26</f>
        <v>0</v>
      </c>
      <c r="V26" s="20">
        <f>'伤害统计(理想)'!V26</f>
        <v>2.0895</v>
      </c>
      <c r="W26" s="20">
        <f>'伤害统计(理想)'!W26</f>
        <v>0.2441</v>
      </c>
      <c r="X26" s="20">
        <f>'伤害统计(理想)'!X26</f>
        <v>2.3336</v>
      </c>
      <c r="Y26" s="20">
        <f>'伤害统计(理想)'!Y26</f>
        <v>0.2441</v>
      </c>
      <c r="Z26" s="20">
        <f>'伤害统计(理想)'!Z26</f>
        <v>2.3336</v>
      </c>
      <c r="AA26" s="20">
        <f>'伤害统计(理想)'!AA26</f>
        <v>0.1953</v>
      </c>
      <c r="AB26" s="20">
        <f>'伤害统计(理想)'!AB26</f>
        <v>2.5289</v>
      </c>
      <c r="AC26" s="20">
        <f t="shared" si="0"/>
        <v>755063</v>
      </c>
      <c r="AD26" s="20">
        <f t="shared" si="1"/>
        <v>778638</v>
      </c>
      <c r="AE26" s="20">
        <f t="shared" si="2"/>
        <v>841109</v>
      </c>
      <c r="AF26" s="20">
        <f t="shared" si="3"/>
        <v>1577704</v>
      </c>
      <c r="AG26" s="20">
        <f t="shared" si="4"/>
        <v>1817029</v>
      </c>
      <c r="AH26" s="20">
        <f t="shared" si="12"/>
        <v>2131033</v>
      </c>
      <c r="AI26" s="20">
        <f t="shared" si="5"/>
        <v>766851</v>
      </c>
      <c r="AJ26" s="20">
        <f t="shared" si="6"/>
        <v>1789523</v>
      </c>
      <c r="AK26" s="20">
        <f t="shared" si="7"/>
        <v>828376</v>
      </c>
      <c r="AL26" s="20">
        <f t="shared" si="8"/>
        <v>1933098</v>
      </c>
      <c r="AM26" s="20">
        <f t="shared" si="9"/>
        <v>1969097</v>
      </c>
      <c r="AN26" s="20">
        <f t="shared" si="10"/>
        <v>2127080</v>
      </c>
    </row>
    <row r="27" spans="1:40">
      <c r="A27" s="20" t="str">
        <f>'伤害统计(理想)'!A27</f>
        <v>腾空·凭虚</v>
      </c>
      <c r="B27" s="20">
        <f>'伤害统计(理想)'!B27</f>
        <v>568199</v>
      </c>
      <c r="C27" s="20">
        <f>'伤害统计(理想)'!C27</f>
        <v>34400</v>
      </c>
      <c r="D27" s="8">
        <f>'伤害统计(理想)'!D27</f>
        <v>0</v>
      </c>
      <c r="E27" s="20">
        <f>'伤害统计(理想)'!E27</f>
        <v>1</v>
      </c>
      <c r="F27" s="20">
        <f>'伤害统计(理想)'!F27</f>
        <v>1</v>
      </c>
      <c r="G27" s="20">
        <f>'伤害统计(理想)'!G27</f>
        <v>0</v>
      </c>
      <c r="H27" s="20">
        <f>'伤害统计(理想)'!H27</f>
        <v>0</v>
      </c>
      <c r="I27" s="20">
        <f>'伤害统计(理想)'!I27</f>
        <v>0.05</v>
      </c>
      <c r="J27" s="20">
        <f>'伤害统计(理想)'!J27</f>
        <v>0.472</v>
      </c>
      <c r="K27" s="20">
        <f>'伤害统计(理想)'!K27</f>
        <v>0.1181</v>
      </c>
      <c r="L27" s="20">
        <f>'伤害统计(理想)'!L27</f>
        <v>0.177214436704937</v>
      </c>
      <c r="M27" s="20">
        <f>'伤害统计(理想)'!M27</f>
        <v>0.3473</v>
      </c>
      <c r="N27" s="20">
        <f>'伤害统计(理想)'!N27</f>
        <v>0.2</v>
      </c>
      <c r="O27" s="20">
        <f>'伤害统计(理想)'!O27</f>
        <v>1</v>
      </c>
      <c r="P27" s="20">
        <f>'伤害统计(理想)'!P27</f>
        <v>0</v>
      </c>
      <c r="Q27" s="20">
        <f>'伤害统计(理想)'!Q27</f>
        <v>1</v>
      </c>
      <c r="R27" s="20">
        <f>'伤害统计(理想)'!R27</f>
        <v>0.2441</v>
      </c>
      <c r="S27" s="20">
        <f>'伤害统计(理想)'!S27</f>
        <v>1</v>
      </c>
      <c r="T27" s="20">
        <f>'伤害统计(理想)'!T27</f>
        <v>2.0895</v>
      </c>
      <c r="U27" s="20">
        <f>'伤害统计(理想)'!U27</f>
        <v>0</v>
      </c>
      <c r="V27" s="20">
        <f>'伤害统计(理想)'!V27</f>
        <v>2.0895</v>
      </c>
      <c r="W27" s="20">
        <f>'伤害统计(理想)'!W27</f>
        <v>0.2441</v>
      </c>
      <c r="X27" s="20">
        <f>'伤害统计(理想)'!X27</f>
        <v>2.3336</v>
      </c>
      <c r="Y27" s="20">
        <f>'伤害统计(理想)'!Y27</f>
        <v>0.2441</v>
      </c>
      <c r="Z27" s="20">
        <f>'伤害统计(理想)'!Z27</f>
        <v>2.3336</v>
      </c>
      <c r="AA27" s="20">
        <f>'伤害统计(理想)'!AA27</f>
        <v>0.1953</v>
      </c>
      <c r="AB27" s="20">
        <f>'伤害统计(理想)'!AB27</f>
        <v>2.5289</v>
      </c>
      <c r="AC27" s="20">
        <f t="shared" si="0"/>
        <v>778822</v>
      </c>
      <c r="AD27" s="20">
        <f t="shared" si="1"/>
        <v>802398</v>
      </c>
      <c r="AE27" s="20">
        <f t="shared" si="2"/>
        <v>866775</v>
      </c>
      <c r="AF27" s="20">
        <f t="shared" si="3"/>
        <v>1627348</v>
      </c>
      <c r="AG27" s="20">
        <f t="shared" si="4"/>
        <v>1872475</v>
      </c>
      <c r="AH27" s="20">
        <f t="shared" si="12"/>
        <v>2196061</v>
      </c>
      <c r="AI27" s="20">
        <f t="shared" si="5"/>
        <v>790610</v>
      </c>
      <c r="AJ27" s="20">
        <f t="shared" si="6"/>
        <v>1844967</v>
      </c>
      <c r="AK27" s="20">
        <f t="shared" si="7"/>
        <v>854041</v>
      </c>
      <c r="AL27" s="20">
        <f t="shared" si="8"/>
        <v>1992990</v>
      </c>
      <c r="AM27" s="20">
        <f t="shared" si="9"/>
        <v>2029184</v>
      </c>
      <c r="AN27" s="20">
        <f t="shared" si="10"/>
        <v>2191987</v>
      </c>
    </row>
    <row r="28" spans="1:40">
      <c r="A28" s="20" t="str">
        <f>'伤害统计(理想)'!A28</f>
        <v>腾空·凭虚·定</v>
      </c>
      <c r="B28" s="20">
        <f>'伤害统计(理想)'!B28</f>
        <v>141299</v>
      </c>
      <c r="C28" s="20">
        <f>'伤害统计(理想)'!C28</f>
        <v>34400</v>
      </c>
      <c r="D28" s="8">
        <f>'伤害统计(理想)'!D28</f>
        <v>0</v>
      </c>
      <c r="E28" s="20">
        <f>'伤害统计(理想)'!E28</f>
        <v>1</v>
      </c>
      <c r="F28" s="20">
        <f>'伤害统计(理想)'!F28</f>
        <v>1</v>
      </c>
      <c r="G28" s="20">
        <f>'伤害统计(理想)'!G28</f>
        <v>0</v>
      </c>
      <c r="H28" s="20">
        <f>'伤害统计(理想)'!H28</f>
        <v>0</v>
      </c>
      <c r="I28" s="20">
        <f>'伤害统计(理想)'!I28</f>
        <v>0.05</v>
      </c>
      <c r="J28" s="20">
        <f>'伤害统计(理想)'!J28</f>
        <v>0.472</v>
      </c>
      <c r="K28" s="20">
        <f>'伤害统计(理想)'!K28</f>
        <v>0.1181</v>
      </c>
      <c r="L28" s="20">
        <f>'伤害统计(理想)'!L28</f>
        <v>0.177214436704937</v>
      </c>
      <c r="M28" s="20">
        <f>'伤害统计(理想)'!M28</f>
        <v>0.3473</v>
      </c>
      <c r="N28" s="20">
        <f>'伤害统计(理想)'!N28</f>
        <v>0.2</v>
      </c>
      <c r="O28" s="8">
        <f>O2</f>
        <v>0.500036</v>
      </c>
      <c r="P28" s="20">
        <f>'伤害统计(理想)'!P28</f>
        <v>0</v>
      </c>
      <c r="Q28" s="20">
        <f>'伤害统计(理想)'!Q28</f>
        <v>0.4994</v>
      </c>
      <c r="R28" s="20">
        <f>'伤害统计(理想)'!R28</f>
        <v>0.2441</v>
      </c>
      <c r="S28" s="20">
        <f>'伤害统计(理想)'!S28</f>
        <v>0.7435</v>
      </c>
      <c r="T28" s="20">
        <f>'伤害统计(理想)'!T28</f>
        <v>2.0895</v>
      </c>
      <c r="U28" s="20">
        <f>'伤害统计(理想)'!U28</f>
        <v>0</v>
      </c>
      <c r="V28" s="20">
        <f>'伤害统计(理想)'!V28</f>
        <v>2.0895</v>
      </c>
      <c r="W28" s="20">
        <f>'伤害统计(理想)'!W28</f>
        <v>0.2441</v>
      </c>
      <c r="X28" s="20">
        <f>'伤害统计(理想)'!X28</f>
        <v>2.3336</v>
      </c>
      <c r="Y28" s="20">
        <f>'伤害统计(理想)'!Y28</f>
        <v>0.2441</v>
      </c>
      <c r="Z28" s="20">
        <f>'伤害统计(理想)'!Z28</f>
        <v>2.3336</v>
      </c>
      <c r="AA28" s="20">
        <f>'伤害统计(理想)'!AA28</f>
        <v>0.1953</v>
      </c>
      <c r="AB28" s="20">
        <f>'伤害统计(理想)'!AB28</f>
        <v>2.5289</v>
      </c>
      <c r="AC28" s="20">
        <f t="shared" si="0"/>
        <v>193676</v>
      </c>
      <c r="AD28" s="20">
        <f t="shared" si="1"/>
        <v>217252</v>
      </c>
      <c r="AE28" s="20">
        <f t="shared" si="2"/>
        <v>234682</v>
      </c>
      <c r="AF28" s="20">
        <f t="shared" si="3"/>
        <v>404686</v>
      </c>
      <c r="AG28" s="20">
        <f t="shared" si="4"/>
        <v>506979</v>
      </c>
      <c r="AH28" s="20">
        <f t="shared" si="12"/>
        <v>594590</v>
      </c>
      <c r="AI28" s="20">
        <f t="shared" si="5"/>
        <v>205464</v>
      </c>
      <c r="AJ28" s="20">
        <f t="shared" si="6"/>
        <v>479470</v>
      </c>
      <c r="AK28" s="20">
        <f t="shared" si="7"/>
        <v>221949</v>
      </c>
      <c r="AL28" s="20">
        <f t="shared" si="8"/>
        <v>517940</v>
      </c>
      <c r="AM28" s="20">
        <f t="shared" si="9"/>
        <v>549408</v>
      </c>
      <c r="AN28" s="20">
        <f t="shared" si="10"/>
        <v>593487</v>
      </c>
    </row>
    <row r="29" spans="1:40">
      <c r="A29" s="20" t="str">
        <f>'伤害统计(理想)'!A29</f>
        <v>气竭(DOT)</v>
      </c>
      <c r="B29" s="20">
        <f>'伤害统计(理想)'!B29</f>
        <v>50</v>
      </c>
      <c r="C29" s="20">
        <f>'伤害统计(理想)'!C29</f>
        <v>34400</v>
      </c>
      <c r="D29" s="8">
        <f>D2</f>
        <v>45864.9473684211</v>
      </c>
      <c r="E29" s="20">
        <f>'伤害统计(理想)'!E29</f>
        <v>0.5078125</v>
      </c>
      <c r="F29" s="20">
        <f>'伤害统计(理想)'!F29</f>
        <v>1</v>
      </c>
      <c r="G29" s="20">
        <f>'伤害统计(理想)'!G29</f>
        <v>0</v>
      </c>
      <c r="H29" s="20">
        <f>'伤害统计(理想)'!H29</f>
        <v>0</v>
      </c>
      <c r="I29" s="20">
        <f>'伤害统计(理想)'!I29</f>
        <v>0.05</v>
      </c>
      <c r="J29" s="20">
        <f>'伤害统计(理想)'!J29</f>
        <v>0.472</v>
      </c>
      <c r="K29" s="20">
        <f>'伤害统计(理想)'!K29</f>
        <v>0.1181</v>
      </c>
      <c r="L29" s="20">
        <f>'伤害统计(理想)'!L29</f>
        <v>0.177214436704937</v>
      </c>
      <c r="M29" s="20">
        <f>'伤害统计(理想)'!M29</f>
        <v>0.3473</v>
      </c>
      <c r="N29" s="20">
        <f>'伤害统计(理想)'!N29</f>
        <v>0.2</v>
      </c>
      <c r="O29" s="8">
        <f>O2</f>
        <v>0.500036</v>
      </c>
      <c r="P29" s="20">
        <f>'伤害统计(理想)'!P29</f>
        <v>0</v>
      </c>
      <c r="Q29" s="20">
        <f>'伤害统计(理想)'!Q29</f>
        <v>0.4994</v>
      </c>
      <c r="R29" s="20">
        <f>'伤害统计(理想)'!R29</f>
        <v>0.2441</v>
      </c>
      <c r="S29" s="20">
        <f>'伤害统计(理想)'!S29</f>
        <v>0.7435</v>
      </c>
      <c r="T29" s="20">
        <f>'伤害统计(理想)'!T29</f>
        <v>2.0895</v>
      </c>
      <c r="U29" s="20">
        <f>'伤害统计(理想)'!U29</f>
        <v>0</v>
      </c>
      <c r="V29" s="20">
        <f>'伤害统计(理想)'!V29</f>
        <v>2.0895</v>
      </c>
      <c r="W29" s="20">
        <f>'伤害统计(理想)'!W29</f>
        <v>0.2441</v>
      </c>
      <c r="X29" s="20">
        <f>'伤害统计(理想)'!X29</f>
        <v>2.3336</v>
      </c>
      <c r="Y29" s="20">
        <f>'伤害统计(理想)'!Y29</f>
        <v>0.2441</v>
      </c>
      <c r="Z29" s="20">
        <f>'伤害统计(理想)'!Z29</f>
        <v>2.3336</v>
      </c>
      <c r="AA29" s="20">
        <f>'伤害统计(理想)'!AA29</f>
        <v>0.1953</v>
      </c>
      <c r="AB29" s="20">
        <f>'伤害统计(理想)'!AB29</f>
        <v>2.5289</v>
      </c>
      <c r="AC29" s="20">
        <f t="shared" si="0"/>
        <v>31991</v>
      </c>
      <c r="AD29" s="20">
        <f t="shared" si="1"/>
        <v>43964</v>
      </c>
      <c r="AE29" s="20">
        <f t="shared" si="2"/>
        <v>47492</v>
      </c>
      <c r="AF29" s="20">
        <f t="shared" si="3"/>
        <v>66845</v>
      </c>
      <c r="AG29" s="20">
        <f t="shared" si="4"/>
        <v>102594</v>
      </c>
      <c r="AH29" s="20">
        <f t="shared" si="12"/>
        <v>120325</v>
      </c>
      <c r="AI29" s="20">
        <f t="shared" si="5"/>
        <v>37978</v>
      </c>
      <c r="AJ29" s="20">
        <f t="shared" si="6"/>
        <v>88625</v>
      </c>
      <c r="AK29" s="20">
        <f t="shared" si="7"/>
        <v>41026</v>
      </c>
      <c r="AL29" s="20">
        <f t="shared" si="8"/>
        <v>95738</v>
      </c>
      <c r="AM29" s="20">
        <f t="shared" si="9"/>
        <v>111180</v>
      </c>
      <c r="AN29" s="20">
        <f t="shared" si="10"/>
        <v>120102</v>
      </c>
    </row>
    <row r="30" spans="1:40">
      <c r="A30" s="20" t="str">
        <f>'伤害统计(理想)'!A30</f>
        <v>星辰</v>
      </c>
      <c r="B30" s="20">
        <f>'伤害统计(理想)'!B30</f>
        <v>1038</v>
      </c>
      <c r="C30" s="20">
        <f>'伤害统计(理想)'!C30</f>
        <v>34400</v>
      </c>
      <c r="D30" s="8">
        <f>D2</f>
        <v>45864.9473684211</v>
      </c>
      <c r="E30" s="20">
        <f>'伤害统计(理想)'!E30</f>
        <v>0.99609375</v>
      </c>
      <c r="F30" s="20">
        <f>'伤害统计(理想)'!F30</f>
        <v>1</v>
      </c>
      <c r="G30" s="20">
        <f>'伤害统计(理想)'!G30</f>
        <v>0</v>
      </c>
      <c r="H30" s="20">
        <f>'伤害统计(理想)'!H30</f>
        <v>0</v>
      </c>
      <c r="I30" s="20">
        <f>'伤害统计(理想)'!I30</f>
        <v>0.05</v>
      </c>
      <c r="J30" s="20">
        <f>'伤害统计(理想)'!J30</f>
        <v>0.472</v>
      </c>
      <c r="K30" s="20">
        <f>'伤害统计(理想)'!K30</f>
        <v>0.1181</v>
      </c>
      <c r="L30" s="20">
        <f>'伤害统计(理想)'!L30</f>
        <v>0.177214436704937</v>
      </c>
      <c r="M30" s="20">
        <f>'伤害统计(理想)'!M30</f>
        <v>0.3473</v>
      </c>
      <c r="N30" s="20">
        <f>'伤害统计(理想)'!N30</f>
        <v>0.2</v>
      </c>
      <c r="O30" s="8">
        <f>O2</f>
        <v>0.500036</v>
      </c>
      <c r="P30" s="20">
        <f>'伤害统计(理想)'!P30</f>
        <v>0</v>
      </c>
      <c r="Q30" s="20">
        <f>'伤害统计(理想)'!Q30</f>
        <v>0.4994</v>
      </c>
      <c r="R30" s="20">
        <f>'伤害统计(理想)'!R30</f>
        <v>0.2441</v>
      </c>
      <c r="S30" s="20">
        <f>'伤害统计(理想)'!S30</f>
        <v>0.7435</v>
      </c>
      <c r="T30" s="20">
        <f>'伤害统计(理想)'!T30</f>
        <v>2.0895</v>
      </c>
      <c r="U30" s="20">
        <f>'伤害统计(理想)'!U30</f>
        <v>0</v>
      </c>
      <c r="V30" s="20">
        <f>'伤害统计(理想)'!V30</f>
        <v>2.0895</v>
      </c>
      <c r="W30" s="20">
        <f>'伤害统计(理想)'!W30</f>
        <v>0.2441</v>
      </c>
      <c r="X30" s="20">
        <f>'伤害统计(理想)'!X30</f>
        <v>2.3336</v>
      </c>
      <c r="Y30" s="20">
        <f>'伤害统计(理想)'!Y30</f>
        <v>0.2441</v>
      </c>
      <c r="Z30" s="20">
        <f>'伤害统计(理想)'!Z30</f>
        <v>2.3336</v>
      </c>
      <c r="AA30" s="20">
        <f>'伤害统计(理想)'!AA30</f>
        <v>0.1953</v>
      </c>
      <c r="AB30" s="20">
        <f>'伤害统计(理想)'!AB30</f>
        <v>2.5289</v>
      </c>
      <c r="AC30" s="20">
        <f t="shared" si="0"/>
        <v>64042</v>
      </c>
      <c r="AD30" s="20">
        <f t="shared" si="1"/>
        <v>87527</v>
      </c>
      <c r="AE30" s="20">
        <f t="shared" si="2"/>
        <v>94549</v>
      </c>
      <c r="AF30" s="20">
        <f t="shared" si="3"/>
        <v>133815</v>
      </c>
      <c r="AG30" s="20">
        <f t="shared" si="4"/>
        <v>204253</v>
      </c>
      <c r="AH30" s="20">
        <f t="shared" si="12"/>
        <v>239549</v>
      </c>
      <c r="AI30" s="20">
        <f t="shared" si="5"/>
        <v>75785</v>
      </c>
      <c r="AJ30" s="20">
        <f t="shared" si="6"/>
        <v>176851</v>
      </c>
      <c r="AK30" s="20">
        <f t="shared" si="7"/>
        <v>81865</v>
      </c>
      <c r="AL30" s="20">
        <f t="shared" si="8"/>
        <v>191040</v>
      </c>
      <c r="AM30" s="20">
        <f t="shared" si="9"/>
        <v>221347</v>
      </c>
      <c r="AN30" s="20">
        <f t="shared" si="10"/>
        <v>239104</v>
      </c>
    </row>
    <row r="31" spans="1:40">
      <c r="A31" s="20" t="str">
        <f>'伤害统计(理想)'!A31</f>
        <v>四象轮回·神兵</v>
      </c>
      <c r="B31" s="20">
        <f>'伤害统计(理想)'!B31</f>
        <v>21</v>
      </c>
      <c r="C31" s="20">
        <f>'伤害统计(理想)'!C31</f>
        <v>34400</v>
      </c>
      <c r="D31" s="8">
        <f>D2</f>
        <v>45864.9473684211</v>
      </c>
      <c r="E31" s="20">
        <f>'伤害统计(理想)'!E31</f>
        <v>0.338541666666667</v>
      </c>
      <c r="F31" s="20">
        <f>'伤害统计(理想)'!F31</f>
        <v>1</v>
      </c>
      <c r="G31" s="20">
        <f>'伤害统计(理想)'!G31</f>
        <v>0</v>
      </c>
      <c r="H31" s="20">
        <f>'伤害统计(理想)'!H31</f>
        <v>0</v>
      </c>
      <c r="I31" s="20">
        <f>'伤害统计(理想)'!I31</f>
        <v>0.05</v>
      </c>
      <c r="J31" s="20">
        <f>'伤害统计(理想)'!J31</f>
        <v>0.472</v>
      </c>
      <c r="K31" s="20">
        <f>'伤害统计(理想)'!K31</f>
        <v>0.1181</v>
      </c>
      <c r="L31" s="20">
        <f>'伤害统计(理想)'!L31</f>
        <v>0.177214436704937</v>
      </c>
      <c r="M31" s="20">
        <f>'伤害统计(理想)'!M31</f>
        <v>0.3473</v>
      </c>
      <c r="N31" s="20">
        <f>'伤害统计(理想)'!N31</f>
        <v>0.2</v>
      </c>
      <c r="O31" s="8">
        <f>O2</f>
        <v>0.500036</v>
      </c>
      <c r="P31" s="20">
        <f>'伤害统计(理想)'!P31</f>
        <v>0</v>
      </c>
      <c r="Q31" s="20">
        <f>'伤害统计(理想)'!Q31</f>
        <v>0.4994</v>
      </c>
      <c r="R31" s="20">
        <f>'伤害统计(理想)'!R31</f>
        <v>0.2441</v>
      </c>
      <c r="S31" s="20">
        <f>'伤害统计(理想)'!S31</f>
        <v>0.7435</v>
      </c>
      <c r="T31" s="20">
        <f>'伤害统计(理想)'!T31</f>
        <v>2.0895</v>
      </c>
      <c r="U31" s="20">
        <f>'伤害统计(理想)'!U31</f>
        <v>0</v>
      </c>
      <c r="V31" s="20">
        <f>'伤害统计(理想)'!V31</f>
        <v>2.0895</v>
      </c>
      <c r="W31" s="20">
        <f>'伤害统计(理想)'!W31</f>
        <v>0.2441</v>
      </c>
      <c r="X31" s="20">
        <f>'伤害统计(理想)'!X31</f>
        <v>2.3336</v>
      </c>
      <c r="Y31" s="20">
        <f>'伤害统计(理想)'!Y31</f>
        <v>0.2441</v>
      </c>
      <c r="Z31" s="20">
        <f>'伤害统计(理想)'!Z31</f>
        <v>2.3336</v>
      </c>
      <c r="AA31" s="20">
        <f>'伤害统计(理想)'!AA31</f>
        <v>0.1953</v>
      </c>
      <c r="AB31" s="20">
        <f>'伤害统计(理想)'!AB31</f>
        <v>2.5289</v>
      </c>
      <c r="AC31" s="20">
        <f t="shared" si="0"/>
        <v>21311</v>
      </c>
      <c r="AD31" s="20">
        <f t="shared" si="1"/>
        <v>29293</v>
      </c>
      <c r="AE31" s="20">
        <f t="shared" si="2"/>
        <v>31643</v>
      </c>
      <c r="AF31" s="20">
        <f t="shared" si="3"/>
        <v>44529</v>
      </c>
      <c r="AG31" s="20">
        <f t="shared" si="4"/>
        <v>68358</v>
      </c>
      <c r="AH31" s="20">
        <f t="shared" si="12"/>
        <v>80170</v>
      </c>
      <c r="AI31" s="20">
        <f t="shared" si="5"/>
        <v>25302</v>
      </c>
      <c r="AJ31" s="20">
        <f t="shared" si="6"/>
        <v>59044</v>
      </c>
      <c r="AK31" s="20">
        <f t="shared" si="7"/>
        <v>27332</v>
      </c>
      <c r="AL31" s="20">
        <f t="shared" si="8"/>
        <v>63781</v>
      </c>
      <c r="AM31" s="20">
        <f t="shared" si="9"/>
        <v>74079</v>
      </c>
      <c r="AN31" s="20">
        <f t="shared" si="10"/>
        <v>80021</v>
      </c>
    </row>
    <row r="32" spans="1:40">
      <c r="A32" s="20" t="str">
        <f>'伤害统计(理想)'!A32</f>
        <v>太极无极(若冲)</v>
      </c>
      <c r="B32" s="20">
        <f>'伤害统计(理想)'!B32</f>
        <v>53</v>
      </c>
      <c r="C32" s="20">
        <f>'伤害统计(理想)'!C32</f>
        <v>99</v>
      </c>
      <c r="D32" s="8">
        <f>D2</f>
        <v>45864.9473684211</v>
      </c>
      <c r="E32" s="20">
        <f>'伤害统计(理想)'!E32</f>
        <v>0.5</v>
      </c>
      <c r="F32" s="20">
        <f>'伤害统计(理想)'!F32</f>
        <v>1</v>
      </c>
      <c r="G32" s="20">
        <f>'伤害统计(理想)'!G32</f>
        <v>0.5</v>
      </c>
      <c r="H32" s="20">
        <f>'伤害统计(理想)'!H32</f>
        <v>0.3</v>
      </c>
      <c r="I32" s="20">
        <f>'伤害统计(理想)'!I32</f>
        <v>0.05</v>
      </c>
      <c r="J32" s="20">
        <f>'伤害统计(理想)'!J32</f>
        <v>0.472</v>
      </c>
      <c r="K32" s="20">
        <f>'伤害统计(理想)'!K32</f>
        <v>0.1181</v>
      </c>
      <c r="L32" s="20">
        <f>'伤害统计(理想)'!L32</f>
        <v>0.177214436704937</v>
      </c>
      <c r="M32" s="20">
        <f>'伤害统计(理想)'!M32</f>
        <v>0.3473</v>
      </c>
      <c r="N32" s="20">
        <f>'伤害统计(理想)'!N32</f>
        <v>0.2</v>
      </c>
      <c r="O32" s="8">
        <f>O2</f>
        <v>0.500036</v>
      </c>
      <c r="P32" s="20">
        <f>'伤害统计(理想)'!P32</f>
        <v>0</v>
      </c>
      <c r="Q32" s="20">
        <f>'伤害统计(理想)'!Q32</f>
        <v>0.4994</v>
      </c>
      <c r="R32" s="20">
        <f>'伤害统计(理想)'!R32</f>
        <v>0.2441</v>
      </c>
      <c r="S32" s="20">
        <f>'伤害统计(理想)'!S32</f>
        <v>0.7435</v>
      </c>
      <c r="T32" s="20">
        <f>'伤害统计(理想)'!T32</f>
        <v>2.0895</v>
      </c>
      <c r="U32" s="20">
        <f>'伤害统计(理想)'!U32</f>
        <v>0</v>
      </c>
      <c r="V32" s="20">
        <f>'伤害统计(理想)'!V32</f>
        <v>2.0895</v>
      </c>
      <c r="W32" s="20">
        <f>'伤害统计(理想)'!W32</f>
        <v>0.2441</v>
      </c>
      <c r="X32" s="20">
        <f>'伤害统计(理想)'!X32</f>
        <v>2.3336</v>
      </c>
      <c r="Y32" s="20">
        <f>'伤害统计(理想)'!Y32</f>
        <v>0.2441</v>
      </c>
      <c r="Z32" s="20">
        <f>'伤害统计(理想)'!Z32</f>
        <v>2.3336</v>
      </c>
      <c r="AA32" s="20">
        <f>'伤害统计(理想)'!AA32</f>
        <v>0.1953</v>
      </c>
      <c r="AB32" s="20">
        <f>'伤害统计(理想)'!AB32</f>
        <v>2.5289</v>
      </c>
      <c r="AC32" s="20">
        <f t="shared" si="0"/>
        <v>56709</v>
      </c>
      <c r="AD32" s="20">
        <f t="shared" si="1"/>
        <v>56771</v>
      </c>
      <c r="AE32" s="20">
        <f t="shared" si="2"/>
        <v>61326</v>
      </c>
      <c r="AF32" s="20">
        <f t="shared" si="3"/>
        <v>118493</v>
      </c>
      <c r="AG32" s="20">
        <f t="shared" si="4"/>
        <v>132480</v>
      </c>
      <c r="AH32" s="20">
        <f t="shared" si="12"/>
        <v>155375</v>
      </c>
      <c r="AI32" s="20">
        <f t="shared" si="5"/>
        <v>56741</v>
      </c>
      <c r="AJ32" s="20">
        <f t="shared" si="6"/>
        <v>132410</v>
      </c>
      <c r="AK32" s="20">
        <f t="shared" si="7"/>
        <v>61293</v>
      </c>
      <c r="AL32" s="20">
        <f t="shared" si="8"/>
        <v>143033</v>
      </c>
      <c r="AM32" s="20">
        <f t="shared" si="9"/>
        <v>143568</v>
      </c>
      <c r="AN32" s="20">
        <f t="shared" si="10"/>
        <v>155087</v>
      </c>
    </row>
    <row r="33" spans="1:29">
      <c r="A33" s="20">
        <f>'伤害统计(理想)'!A33</f>
        <v>0</v>
      </c>
      <c r="B33" s="20">
        <f>'伤害统计(理想)'!B33</f>
        <v>0</v>
      </c>
      <c r="C33" s="20">
        <f>'伤害统计(理想)'!C33</f>
        <v>0</v>
      </c>
      <c r="D33" s="20">
        <f>'伤害统计(理想)'!D33</f>
        <v>0</v>
      </c>
      <c r="E33" s="20">
        <f>'伤害统计(理想)'!E33</f>
        <v>0</v>
      </c>
      <c r="F33" s="20">
        <f>'伤害统计(理想)'!F33</f>
        <v>0</v>
      </c>
      <c r="G33" s="20">
        <f>'伤害统计(理想)'!G33</f>
        <v>0</v>
      </c>
      <c r="H33" s="20">
        <f>'伤害统计(理想)'!H33</f>
        <v>0</v>
      </c>
      <c r="I33" s="20">
        <f>'伤害统计(理想)'!I33</f>
        <v>0</v>
      </c>
      <c r="J33" s="20">
        <f>'伤害统计(理想)'!J33</f>
        <v>0</v>
      </c>
      <c r="K33" s="20">
        <f>'伤害统计(理想)'!K33</f>
        <v>0</v>
      </c>
      <c r="L33" s="20">
        <f>'伤害统计(理想)'!L33</f>
        <v>0</v>
      </c>
      <c r="M33" s="20">
        <f>'伤害统计(理想)'!M33</f>
        <v>0</v>
      </c>
      <c r="N33" s="20">
        <f>'伤害统计(理想)'!N33</f>
        <v>0</v>
      </c>
      <c r="O33" s="20">
        <f>'伤害统计(理想)'!O33</f>
        <v>0</v>
      </c>
      <c r="P33" s="20">
        <f>'伤害统计(理想)'!P33</f>
        <v>0</v>
      </c>
      <c r="Q33" s="20">
        <f>'伤害统计(理想)'!Q33</f>
        <v>0</v>
      </c>
      <c r="R33" s="20">
        <f>'伤害统计(理想)'!R33</f>
        <v>0</v>
      </c>
      <c r="S33" s="20">
        <f>'伤害统计(理想)'!S33</f>
        <v>0</v>
      </c>
      <c r="T33" s="20">
        <f>'伤害统计(理想)'!T33</f>
        <v>0</v>
      </c>
      <c r="U33" s="20">
        <f>'伤害统计(理想)'!U33</f>
        <v>0</v>
      </c>
      <c r="V33" s="20">
        <f>'伤害统计(理想)'!V33</f>
        <v>0</v>
      </c>
      <c r="W33" s="20">
        <f>'伤害统计(理想)'!W33</f>
        <v>0</v>
      </c>
      <c r="X33" s="20">
        <f>'伤害统计(理想)'!X33</f>
        <v>0</v>
      </c>
      <c r="Y33" s="20">
        <f>'伤害统计(理想)'!Y33</f>
        <v>0</v>
      </c>
      <c r="Z33" s="20">
        <f>'伤害统计(理想)'!Z33</f>
        <v>0</v>
      </c>
      <c r="AA33" s="20">
        <f>'伤害统计(理想)'!AA33</f>
        <v>0</v>
      </c>
      <c r="AB33" s="20">
        <f>'伤害统计(理想)'!AB33</f>
        <v>0</v>
      </c>
      <c r="AC33" s="29"/>
    </row>
    <row r="34" spans="1:29">
      <c r="A34" s="20">
        <f>'伤害统计(理想)'!A34</f>
        <v>0</v>
      </c>
      <c r="B34" s="20">
        <f>'伤害统计(理想)'!B34</f>
        <v>0</v>
      </c>
      <c r="C34" s="20">
        <f>'伤害统计(理想)'!C34</f>
        <v>0</v>
      </c>
      <c r="D34" s="20">
        <f>'伤害统计(理想)'!D34</f>
        <v>0</v>
      </c>
      <c r="E34" s="20">
        <f>'伤害统计(理想)'!E34</f>
        <v>0</v>
      </c>
      <c r="F34" s="20">
        <f>'伤害统计(理想)'!F34</f>
        <v>0</v>
      </c>
      <c r="G34" s="20">
        <f>'伤害统计(理想)'!G34</f>
        <v>0</v>
      </c>
      <c r="H34" s="20">
        <f>'伤害统计(理想)'!H34</f>
        <v>0</v>
      </c>
      <c r="I34" s="20">
        <f>'伤害统计(理想)'!I34</f>
        <v>0</v>
      </c>
      <c r="J34" s="20">
        <f>'伤害统计(理想)'!J34</f>
        <v>0</v>
      </c>
      <c r="K34" s="20">
        <f>'伤害统计(理想)'!K34</f>
        <v>0</v>
      </c>
      <c r="L34" s="20">
        <f>'伤害统计(理想)'!L34</f>
        <v>0</v>
      </c>
      <c r="M34" s="20">
        <f>'伤害统计(理想)'!M34</f>
        <v>0</v>
      </c>
      <c r="N34" s="20">
        <f>'伤害统计(理想)'!N34</f>
        <v>0</v>
      </c>
      <c r="O34" s="20">
        <f>'伤害统计(理想)'!O34</f>
        <v>0</v>
      </c>
      <c r="P34" s="20">
        <f>'伤害统计(理想)'!P34</f>
        <v>0</v>
      </c>
      <c r="Q34" s="20">
        <f>'伤害统计(理想)'!Q34</f>
        <v>0</v>
      </c>
      <c r="R34" s="20">
        <f>'伤害统计(理想)'!R34</f>
        <v>0</v>
      </c>
      <c r="S34" s="20">
        <f>'伤害统计(理想)'!S34</f>
        <v>0</v>
      </c>
      <c r="T34" s="20">
        <f>'伤害统计(理想)'!T34</f>
        <v>0</v>
      </c>
      <c r="U34" s="20">
        <f>'伤害统计(理想)'!U34</f>
        <v>0</v>
      </c>
      <c r="V34" s="20">
        <f>'伤害统计(理想)'!V34</f>
        <v>0</v>
      </c>
      <c r="W34" s="20">
        <f>'伤害统计(理想)'!W34</f>
        <v>0</v>
      </c>
      <c r="X34" s="20">
        <f>'伤害统计(理想)'!X34</f>
        <v>0</v>
      </c>
      <c r="Y34" s="20">
        <f>'伤害统计(理想)'!Y34</f>
        <v>0</v>
      </c>
      <c r="Z34" s="20">
        <f>'伤害统计(理想)'!Z34</f>
        <v>0</v>
      </c>
      <c r="AA34" s="20">
        <f>'伤害统计(理想)'!AA34</f>
        <v>0</v>
      </c>
      <c r="AB34" s="20">
        <f>'伤害统计(理想)'!AB34</f>
        <v>0</v>
      </c>
      <c r="AC34" s="29"/>
    </row>
    <row r="35" spans="1:29">
      <c r="A35" s="20">
        <f>'伤害统计(理想)'!A35</f>
        <v>0</v>
      </c>
      <c r="B35" s="20">
        <f>'伤害统计(理想)'!B35</f>
        <v>0</v>
      </c>
      <c r="C35" s="20">
        <f>'伤害统计(理想)'!C35</f>
        <v>0</v>
      </c>
      <c r="D35" s="20">
        <f>'伤害统计(理想)'!D35</f>
        <v>0</v>
      </c>
      <c r="E35" s="20">
        <f>'伤害统计(理想)'!E35</f>
        <v>0</v>
      </c>
      <c r="F35" s="20">
        <f>'伤害统计(理想)'!F35</f>
        <v>0</v>
      </c>
      <c r="G35" s="20">
        <f>'伤害统计(理想)'!G35</f>
        <v>0</v>
      </c>
      <c r="H35" s="20">
        <f>'伤害统计(理想)'!H35</f>
        <v>0</v>
      </c>
      <c r="I35" s="20">
        <f>'伤害统计(理想)'!I35</f>
        <v>0</v>
      </c>
      <c r="J35" s="20">
        <f>'伤害统计(理想)'!J35</f>
        <v>0</v>
      </c>
      <c r="K35" s="20">
        <f>'伤害统计(理想)'!K35</f>
        <v>0</v>
      </c>
      <c r="L35" s="20">
        <f>'伤害统计(理想)'!L35</f>
        <v>0</v>
      </c>
      <c r="M35" s="20">
        <f>'伤害统计(理想)'!M35</f>
        <v>0</v>
      </c>
      <c r="N35" s="20">
        <f>'伤害统计(理想)'!N35</f>
        <v>0</v>
      </c>
      <c r="O35" s="20">
        <f>'伤害统计(理想)'!O35</f>
        <v>0</v>
      </c>
      <c r="P35" s="20">
        <f>'伤害统计(理想)'!P35</f>
        <v>0</v>
      </c>
      <c r="Q35" s="20">
        <f>'伤害统计(理想)'!Q35</f>
        <v>0</v>
      </c>
      <c r="R35" s="20">
        <f>'伤害统计(理想)'!R35</f>
        <v>0</v>
      </c>
      <c r="S35" s="20">
        <f>'伤害统计(理想)'!S35</f>
        <v>0</v>
      </c>
      <c r="T35" s="20">
        <f>'伤害统计(理想)'!T35</f>
        <v>0</v>
      </c>
      <c r="U35" s="20">
        <f>'伤害统计(理想)'!U35</f>
        <v>0</v>
      </c>
      <c r="V35" s="20">
        <f>'伤害统计(理想)'!V35</f>
        <v>0</v>
      </c>
      <c r="W35" s="20">
        <f>'伤害统计(理想)'!W35</f>
        <v>0</v>
      </c>
      <c r="X35" s="20">
        <f>'伤害统计(理想)'!X35</f>
        <v>0</v>
      </c>
      <c r="Y35" s="20">
        <f>'伤害统计(理想)'!Y35</f>
        <v>0</v>
      </c>
      <c r="Z35" s="20">
        <f>'伤害统计(理想)'!Z35</f>
        <v>0</v>
      </c>
      <c r="AA35" s="20">
        <f>'伤害统计(理想)'!AA35</f>
        <v>0</v>
      </c>
      <c r="AB35" s="20">
        <f>'伤害统计(理想)'!AB35</f>
        <v>0</v>
      </c>
      <c r="AC35" s="29"/>
    </row>
    <row r="36" spans="1:29">
      <c r="A36" s="20">
        <f>'伤害统计(理想)'!A36</f>
        <v>0</v>
      </c>
      <c r="B36" s="20">
        <f>'伤害统计(理想)'!B36</f>
        <v>0</v>
      </c>
      <c r="C36" s="20">
        <f>'伤害统计(理想)'!C36</f>
        <v>0</v>
      </c>
      <c r="D36" s="20">
        <f>'伤害统计(理想)'!D36</f>
        <v>0</v>
      </c>
      <c r="E36" s="20">
        <f>'伤害统计(理想)'!E36</f>
        <v>0</v>
      </c>
      <c r="F36" s="20">
        <f>'伤害统计(理想)'!F36</f>
        <v>0</v>
      </c>
      <c r="G36" s="20">
        <f>'伤害统计(理想)'!G36</f>
        <v>0</v>
      </c>
      <c r="H36" s="20">
        <f>'伤害统计(理想)'!H36</f>
        <v>0</v>
      </c>
      <c r="I36" s="20">
        <f>'伤害统计(理想)'!I36</f>
        <v>0</v>
      </c>
      <c r="J36" s="20">
        <f>'伤害统计(理想)'!J36</f>
        <v>0</v>
      </c>
      <c r="K36" s="20">
        <f>'伤害统计(理想)'!K36</f>
        <v>0</v>
      </c>
      <c r="L36" s="20">
        <f>'伤害统计(理想)'!L36</f>
        <v>0</v>
      </c>
      <c r="M36" s="20">
        <f>'伤害统计(理想)'!M36</f>
        <v>0</v>
      </c>
      <c r="N36" s="20">
        <f>'伤害统计(理想)'!N36</f>
        <v>0</v>
      </c>
      <c r="O36" s="20">
        <f>'伤害统计(理想)'!O36</f>
        <v>0</v>
      </c>
      <c r="P36" s="20">
        <f>'伤害统计(理想)'!P36</f>
        <v>0</v>
      </c>
      <c r="Q36" s="20">
        <f>'伤害统计(理想)'!Q36</f>
        <v>0</v>
      </c>
      <c r="R36" s="20">
        <f>'伤害统计(理想)'!R36</f>
        <v>0</v>
      </c>
      <c r="S36" s="20">
        <f>'伤害统计(理想)'!S36</f>
        <v>0</v>
      </c>
      <c r="T36" s="20">
        <f>'伤害统计(理想)'!T36</f>
        <v>0</v>
      </c>
      <c r="U36" s="20">
        <f>'伤害统计(理想)'!U36</f>
        <v>0</v>
      </c>
      <c r="V36" s="20">
        <f>'伤害统计(理想)'!V36</f>
        <v>0</v>
      </c>
      <c r="W36" s="20">
        <f>'伤害统计(理想)'!W36</f>
        <v>0</v>
      </c>
      <c r="X36" s="20">
        <f>'伤害统计(理想)'!X36</f>
        <v>0</v>
      </c>
      <c r="Y36" s="20">
        <f>'伤害统计(理想)'!Y36</f>
        <v>0</v>
      </c>
      <c r="Z36" s="20">
        <f>'伤害统计(理想)'!Z36</f>
        <v>0</v>
      </c>
      <c r="AA36" s="20">
        <f>'伤害统计(理想)'!AA36</f>
        <v>0</v>
      </c>
      <c r="AB36" s="20">
        <f>'伤害统计(理想)'!AB36</f>
        <v>0</v>
      </c>
      <c r="AC36" s="29"/>
    </row>
    <row r="37" spans="1:29">
      <c r="A37" s="20">
        <f>'伤害统计(理想)'!A37</f>
        <v>0</v>
      </c>
      <c r="B37" s="20" t="str">
        <f>'伤害统计(理想)'!B37</f>
        <v>常规</v>
      </c>
      <c r="C37" s="20" t="str">
        <f>'伤害统计(理想)'!C37</f>
        <v>小紫</v>
      </c>
      <c r="D37" s="20" t="str">
        <f>'伤害统计(理想)'!D37</f>
        <v>大紫</v>
      </c>
      <c r="E37" s="20" t="str">
        <f>'伤害统计(理想)'!E37</f>
        <v>大紫会神</v>
      </c>
      <c r="F37" s="20" t="str">
        <f>'伤害统计(理想)'!F37</f>
        <v>腰坠常规</v>
      </c>
      <c r="G37" s="20" t="str">
        <f>'伤害统计(理想)'!G37</f>
        <v>腰坠小紫</v>
      </c>
      <c r="H37" s="20" t="str">
        <f>'伤害统计(理想)'!H37</f>
        <v>腰坠大紫</v>
      </c>
      <c r="I37" s="20" t="str">
        <f>'伤害统计(理想)'!I37</f>
        <v>腰坠大紫会神</v>
      </c>
      <c r="J37" s="20">
        <f>'伤害统计(理想)'!J37</f>
        <v>0</v>
      </c>
      <c r="K37" s="20">
        <f>'伤害统计(理想)'!K37</f>
        <v>0</v>
      </c>
      <c r="L37" s="20" t="str">
        <f>'伤害统计(理想)'!L37</f>
        <v>技能数统计</v>
      </c>
      <c r="M37" s="20" t="str">
        <f>'伤害统计(理想)'!M37</f>
        <v>不可修改</v>
      </c>
      <c r="N37" s="20">
        <f>'伤害统计(理想)'!N37</f>
        <v>0</v>
      </c>
      <c r="O37" s="20">
        <f>'伤害统计(理想)'!O37</f>
        <v>0</v>
      </c>
      <c r="P37" s="20">
        <f>'伤害统计(理想)'!P37</f>
        <v>0</v>
      </c>
      <c r="Q37" s="20">
        <f>'伤害统计(理想)'!Q37</f>
        <v>0</v>
      </c>
      <c r="R37" s="20">
        <f>'伤害统计(理想)'!R37</f>
        <v>0</v>
      </c>
      <c r="S37" s="20">
        <f>'伤害统计(理想)'!S37</f>
        <v>0</v>
      </c>
      <c r="T37" s="20">
        <f>'伤害统计(理想)'!T37</f>
        <v>0</v>
      </c>
      <c r="U37" s="20">
        <f>'伤害统计(理想)'!U37</f>
        <v>0</v>
      </c>
      <c r="V37" s="20">
        <f>'伤害统计(理想)'!V37</f>
        <v>0</v>
      </c>
      <c r="W37" s="20">
        <f>'伤害统计(理想)'!W37</f>
        <v>0</v>
      </c>
      <c r="X37" s="20">
        <f>'伤害统计(理想)'!X37</f>
        <v>0</v>
      </c>
      <c r="Y37" s="20">
        <f>'伤害统计(理想)'!Y37</f>
        <v>0</v>
      </c>
      <c r="Z37" s="20">
        <f>'伤害统计(理想)'!Z37</f>
        <v>0</v>
      </c>
      <c r="AA37" s="20">
        <f>'伤害统计(理想)'!AA37</f>
        <v>0</v>
      </c>
      <c r="AB37" s="20">
        <f>'伤害统计(理想)'!AB37</f>
        <v>0</v>
      </c>
      <c r="AC37" s="29"/>
    </row>
    <row r="38" spans="1:29">
      <c r="A38" s="20" t="str">
        <f>'伤害统计(理想)'!A38</f>
        <v>万世二段</v>
      </c>
      <c r="B38" s="20">
        <f>'伤害统计(理想)'!B38</f>
        <v>7</v>
      </c>
      <c r="C38" s="20">
        <f>'伤害统计(理想)'!C38</f>
        <v>0</v>
      </c>
      <c r="D38" s="20">
        <f>'伤害统计(理想)'!D38</f>
        <v>0</v>
      </c>
      <c r="E38" s="20">
        <f>'伤害统计(理想)'!E38</f>
        <v>0</v>
      </c>
      <c r="F38" s="20">
        <f>'伤害统计(理想)'!F38</f>
        <v>0</v>
      </c>
      <c r="G38" s="20">
        <f>'伤害统计(理想)'!G38</f>
        <v>0</v>
      </c>
      <c r="H38" s="20">
        <f>'伤害统计(理想)'!H38</f>
        <v>0</v>
      </c>
      <c r="I38" s="20">
        <f>'伤害统计(理想)'!I38</f>
        <v>0</v>
      </c>
      <c r="J38" s="20">
        <f>'伤害统计(理想)'!J38</f>
        <v>0</v>
      </c>
      <c r="K38" s="20">
        <f>'伤害统计(理想)'!K38</f>
        <v>7</v>
      </c>
      <c r="L38" s="20">
        <f>'伤害统计(理想)'!L38</f>
        <v>7</v>
      </c>
      <c r="M38" s="20">
        <f>'伤害统计(理想)'!M38</f>
        <v>7</v>
      </c>
      <c r="N38" s="20" t="str">
        <f>'伤害统计(理想)'!N38</f>
        <v>伤害统计</v>
      </c>
      <c r="O38" s="20">
        <f>'伤害统计(理想)'!O38</f>
        <v>0</v>
      </c>
      <c r="P38" s="20">
        <f>'伤害统计(理想)'!P38</f>
        <v>0</v>
      </c>
      <c r="Q38" s="20">
        <f>'伤害统计(理想)'!Q38</f>
        <v>0</v>
      </c>
      <c r="R38" s="20">
        <f>'伤害统计(理想)'!R38</f>
        <v>0</v>
      </c>
      <c r="S38" s="20">
        <f>'伤害统计(理想)'!S38</f>
        <v>0</v>
      </c>
      <c r="T38" s="20">
        <f>'伤害统计(理想)'!T38</f>
        <v>0</v>
      </c>
      <c r="U38" s="20">
        <f>'伤害统计(理想)'!U38</f>
        <v>0</v>
      </c>
      <c r="V38" s="20">
        <f>'伤害统计(理想)'!V38</f>
        <v>0</v>
      </c>
      <c r="W38" s="20">
        <f>'伤害统计(理想)'!W38</f>
        <v>0</v>
      </c>
      <c r="X38" s="20">
        <f>'伤害统计(理想)'!X38</f>
        <v>0</v>
      </c>
      <c r="Y38" s="20">
        <f>'伤害统计(理想)'!Y38</f>
        <v>0</v>
      </c>
      <c r="Z38" s="20">
        <f>'伤害统计(理想)'!Z38</f>
        <v>0</v>
      </c>
      <c r="AA38" s="20">
        <f>'伤害统计(理想)'!AA38</f>
        <v>0</v>
      </c>
      <c r="AB38" s="20">
        <f>'伤害统计(理想)'!AB38</f>
        <v>0</v>
      </c>
      <c r="AC38" s="29"/>
    </row>
    <row r="39" spans="1:29">
      <c r="A39" s="20" t="str">
        <f>'伤害统计(理想)'!A39</f>
        <v>飞剑1</v>
      </c>
      <c r="B39" s="20">
        <f>'伤害统计(理想)'!B39</f>
        <v>99</v>
      </c>
      <c r="C39" s="20">
        <f>'伤害统计(理想)'!C39</f>
        <v>0</v>
      </c>
      <c r="D39" s="20">
        <f>'伤害统计(理想)'!D39</f>
        <v>5</v>
      </c>
      <c r="E39" s="20">
        <f>'伤害统计(理想)'!E39</f>
        <v>10</v>
      </c>
      <c r="F39" s="20">
        <f>'伤害统计(理想)'!F39</f>
        <v>2</v>
      </c>
      <c r="G39" s="20">
        <f>'伤害统计(理想)'!G39</f>
        <v>0</v>
      </c>
      <c r="H39" s="20">
        <f>'伤害统计(理想)'!H39</f>
        <v>2</v>
      </c>
      <c r="I39" s="20">
        <f>'伤害统计(理想)'!I39</f>
        <v>4</v>
      </c>
      <c r="J39" s="20">
        <f>'伤害统计(理想)'!J39</f>
        <v>0</v>
      </c>
      <c r="K39" s="20">
        <f>'伤害统计(理想)'!K39</f>
        <v>122</v>
      </c>
      <c r="L39" s="20">
        <f>'伤害统计(理想)'!L39</f>
        <v>610</v>
      </c>
      <c r="M39" s="20">
        <f>'伤害统计(理想)'!M39</f>
        <v>115</v>
      </c>
      <c r="N39" s="20">
        <f>'伤害统计(理想)'!N39</f>
        <v>0</v>
      </c>
      <c r="O39" s="20" t="str">
        <f>'伤害统计(理想)'!O39</f>
        <v>技能名称</v>
      </c>
      <c r="P39" s="20" t="str">
        <f>'伤害统计(理想)'!P39</f>
        <v>次数</v>
      </c>
      <c r="Q39" s="20" t="str">
        <f>'伤害统计(理想)'!Q39</f>
        <v>正常伤害</v>
      </c>
      <c r="R39" s="20" t="str">
        <f>'伤害统计(理想)'!R39</f>
        <v>伤害占比</v>
      </c>
      <c r="S39" s="20">
        <f>'伤害统计(理想)'!S39</f>
        <v>0</v>
      </c>
      <c r="T39" s="20">
        <f>'伤害统计(理想)'!T39</f>
        <v>0</v>
      </c>
      <c r="U39" s="20">
        <f>'伤害统计(理想)'!U39</f>
        <v>0</v>
      </c>
      <c r="V39" s="20">
        <f>'伤害统计(理想)'!V39</f>
        <v>0</v>
      </c>
      <c r="W39" s="20">
        <f>'伤害统计(理想)'!W39</f>
        <v>0</v>
      </c>
      <c r="X39" s="20">
        <f>'伤害统计(理想)'!X39</f>
        <v>0</v>
      </c>
      <c r="Y39" s="20">
        <f>'伤害统计(理想)'!Y39</f>
        <v>0</v>
      </c>
      <c r="Z39" s="20">
        <f>'伤害统计(理想)'!Z39</f>
        <v>0</v>
      </c>
      <c r="AA39" s="20">
        <f>'伤害统计(理想)'!AA39</f>
        <v>0</v>
      </c>
      <c r="AB39" s="20">
        <f>'伤害统计(理想)'!AB39</f>
        <v>0</v>
      </c>
      <c r="AC39" s="29"/>
    </row>
    <row r="40" spans="1:29">
      <c r="A40" s="20" t="str">
        <f>'伤害统计(理想)'!A40</f>
        <v>飞剑2</v>
      </c>
      <c r="B40" s="20">
        <f>'伤害统计(理想)'!B40</f>
        <v>99</v>
      </c>
      <c r="C40" s="20">
        <f>'伤害统计(理想)'!C40</f>
        <v>0</v>
      </c>
      <c r="D40" s="20">
        <f>'伤害统计(理想)'!D40</f>
        <v>5</v>
      </c>
      <c r="E40" s="20">
        <f>'伤害统计(理想)'!E40</f>
        <v>10</v>
      </c>
      <c r="F40" s="20">
        <f>'伤害统计(理想)'!F40</f>
        <v>2</v>
      </c>
      <c r="G40" s="20">
        <f>'伤害统计(理想)'!G40</f>
        <v>0</v>
      </c>
      <c r="H40" s="20">
        <f>'伤害统计(理想)'!H40</f>
        <v>2</v>
      </c>
      <c r="I40" s="20">
        <f>'伤害统计(理想)'!I40</f>
        <v>4</v>
      </c>
      <c r="J40" s="20">
        <f>'伤害统计(理想)'!J40</f>
        <v>0</v>
      </c>
      <c r="K40" s="20">
        <f>'伤害统计(理想)'!K40</f>
        <v>122</v>
      </c>
      <c r="L40" s="20">
        <f>'伤害统计(理想)'!L40</f>
        <v>0</v>
      </c>
      <c r="M40" s="20">
        <f>'伤害统计(理想)'!M40</f>
        <v>0</v>
      </c>
      <c r="N40" s="20">
        <f>'伤害统计(理想)'!N40</f>
        <v>1</v>
      </c>
      <c r="O40" s="20" t="str">
        <f>'伤害统计(理想)'!O40</f>
        <v>破</v>
      </c>
      <c r="P40" s="20">
        <f>'伤害统计(理想)'!P40</f>
        <v>91</v>
      </c>
      <c r="Q40" s="20">
        <f>'伤害统计(理想)'!Q40</f>
        <v>50882445</v>
      </c>
      <c r="R40" s="20">
        <f>'伤害统计(理想)'!R40</f>
        <v>0.235591999359747</v>
      </c>
      <c r="S40" s="20">
        <f>'伤害统计(理想)'!S40</f>
        <v>0</v>
      </c>
      <c r="T40" s="20">
        <f>'伤害统计(理想)'!T40</f>
        <v>0</v>
      </c>
      <c r="U40" s="20">
        <f>'伤害统计(理想)'!U40</f>
        <v>0</v>
      </c>
      <c r="V40" s="20">
        <f>'伤害统计(理想)'!V40</f>
        <v>0</v>
      </c>
      <c r="W40" s="20">
        <f>'伤害统计(理想)'!W40</f>
        <v>0</v>
      </c>
      <c r="X40" s="20">
        <f>'伤害统计(理想)'!X40</f>
        <v>0</v>
      </c>
      <c r="Y40" s="20">
        <f>'伤害统计(理想)'!Y40</f>
        <v>0</v>
      </c>
      <c r="Z40" s="20">
        <f>'伤害统计(理想)'!Z40</f>
        <v>0</v>
      </c>
      <c r="AA40" s="20">
        <f>'伤害统计(理想)'!AA40</f>
        <v>0</v>
      </c>
      <c r="AB40" s="20">
        <f>'伤害统计(理想)'!AB40</f>
        <v>0</v>
      </c>
      <c r="AC40" s="29"/>
    </row>
    <row r="41" spans="1:29">
      <c r="A41" s="20" t="str">
        <f>'伤害统计(理想)'!A41</f>
        <v>飞剑3</v>
      </c>
      <c r="B41" s="20">
        <f>'伤害统计(理想)'!B41</f>
        <v>99</v>
      </c>
      <c r="C41" s="20">
        <f>'伤害统计(理想)'!C41</f>
        <v>0</v>
      </c>
      <c r="D41" s="20">
        <f>'伤害统计(理想)'!D41</f>
        <v>5</v>
      </c>
      <c r="E41" s="20">
        <f>'伤害统计(理想)'!E41</f>
        <v>10</v>
      </c>
      <c r="F41" s="20">
        <f>'伤害统计(理想)'!F41</f>
        <v>2</v>
      </c>
      <c r="G41" s="20">
        <f>'伤害统计(理想)'!G41</f>
        <v>0</v>
      </c>
      <c r="H41" s="20">
        <f>'伤害统计(理想)'!H41</f>
        <v>2</v>
      </c>
      <c r="I41" s="20">
        <f>'伤害统计(理想)'!I41</f>
        <v>4</v>
      </c>
      <c r="J41" s="20">
        <f>'伤害统计(理想)'!J41</f>
        <v>0</v>
      </c>
      <c r="K41" s="20">
        <f>'伤害统计(理想)'!K41</f>
        <v>122</v>
      </c>
      <c r="L41" s="20">
        <f>'伤害统计(理想)'!L41</f>
        <v>0</v>
      </c>
      <c r="M41" s="20">
        <f>'伤害统计(理想)'!M41</f>
        <v>0</v>
      </c>
      <c r="N41" s="20">
        <f>'伤害统计(理想)'!N41</f>
        <v>2</v>
      </c>
      <c r="O41" s="20" t="str">
        <f>'伤害统计(理想)'!O41</f>
        <v>飞剑</v>
      </c>
      <c r="P41" s="20">
        <f>'伤害统计(理想)'!P41</f>
        <v>610</v>
      </c>
      <c r="Q41" s="20">
        <f>'伤害统计(理想)'!Q41</f>
        <v>67946513</v>
      </c>
      <c r="R41" s="20">
        <f>'伤害统计(理想)'!R41</f>
        <v>0.314600739944651</v>
      </c>
      <c r="S41" s="20">
        <f>'伤害统计(理想)'!S41</f>
        <v>0</v>
      </c>
      <c r="T41" s="20">
        <f>'伤害统计(理想)'!T41</f>
        <v>0</v>
      </c>
      <c r="U41" s="20">
        <f>'伤害统计(理想)'!U41</f>
        <v>0</v>
      </c>
      <c r="V41" s="20">
        <f>'伤害统计(理想)'!V41</f>
        <v>0</v>
      </c>
      <c r="W41" s="20">
        <f>'伤害统计(理想)'!W41</f>
        <v>0</v>
      </c>
      <c r="X41" s="20">
        <f>'伤害统计(理想)'!X41</f>
        <v>0</v>
      </c>
      <c r="Y41" s="20">
        <f>'伤害统计(理想)'!Y41</f>
        <v>0</v>
      </c>
      <c r="Z41" s="20">
        <f>'伤害统计(理想)'!Z41</f>
        <v>0</v>
      </c>
      <c r="AA41" s="20">
        <f>'伤害统计(理想)'!AA41</f>
        <v>0</v>
      </c>
      <c r="AB41" s="20">
        <f>'伤害统计(理想)'!AB41</f>
        <v>0</v>
      </c>
      <c r="AC41" s="29"/>
    </row>
    <row r="42" spans="1:29">
      <c r="A42" s="20" t="str">
        <f>'伤害统计(理想)'!A42</f>
        <v>飞剑4</v>
      </c>
      <c r="B42" s="20">
        <f>'伤害统计(理想)'!B42</f>
        <v>99</v>
      </c>
      <c r="C42" s="20">
        <f>'伤害统计(理想)'!C42</f>
        <v>0</v>
      </c>
      <c r="D42" s="20">
        <f>'伤害统计(理想)'!D42</f>
        <v>5</v>
      </c>
      <c r="E42" s="20">
        <f>'伤害统计(理想)'!E42</f>
        <v>10</v>
      </c>
      <c r="F42" s="20">
        <f>'伤害统计(理想)'!F42</f>
        <v>2</v>
      </c>
      <c r="G42" s="20">
        <f>'伤害统计(理想)'!G42</f>
        <v>0</v>
      </c>
      <c r="H42" s="20">
        <f>'伤害统计(理想)'!H42</f>
        <v>2</v>
      </c>
      <c r="I42" s="20">
        <f>'伤害统计(理想)'!I42</f>
        <v>4</v>
      </c>
      <c r="J42" s="20">
        <f>'伤害统计(理想)'!J42</f>
        <v>0</v>
      </c>
      <c r="K42" s="20">
        <f>'伤害统计(理想)'!K42</f>
        <v>122</v>
      </c>
      <c r="L42" s="20">
        <f>'伤害统计(理想)'!L42</f>
        <v>0</v>
      </c>
      <c r="M42" s="20">
        <f>'伤害统计(理想)'!M42</f>
        <v>0</v>
      </c>
      <c r="N42" s="20">
        <f>'伤害统计(理想)'!N42</f>
        <v>3</v>
      </c>
      <c r="O42" s="20" t="str">
        <f>'伤害统计(理想)'!O42</f>
        <v>两仪</v>
      </c>
      <c r="P42" s="20">
        <f>'伤害统计(理想)'!P42</f>
        <v>84</v>
      </c>
      <c r="Q42" s="20">
        <f>'伤害统计(理想)'!Q42</f>
        <v>28818379</v>
      </c>
      <c r="R42" s="20">
        <f>'伤害统计(理想)'!R42</f>
        <v>0.133432651023687</v>
      </c>
      <c r="S42" s="20">
        <f>'伤害统计(理想)'!S42</f>
        <v>0</v>
      </c>
      <c r="T42" s="20">
        <f>'伤害统计(理想)'!T42</f>
        <v>0</v>
      </c>
      <c r="U42" s="20">
        <f>'伤害统计(理想)'!U42</f>
        <v>0</v>
      </c>
      <c r="V42" s="20">
        <f>'伤害统计(理想)'!V42</f>
        <v>0</v>
      </c>
      <c r="W42" s="20">
        <f>'伤害统计(理想)'!W42</f>
        <v>0</v>
      </c>
      <c r="X42" s="20">
        <f>'伤害统计(理想)'!X42</f>
        <v>0</v>
      </c>
      <c r="Y42" s="20">
        <f>'伤害统计(理想)'!Y42</f>
        <v>0</v>
      </c>
      <c r="Z42" s="20">
        <f>'伤害统计(理想)'!Z42</f>
        <v>0</v>
      </c>
      <c r="AA42" s="20">
        <f>'伤害统计(理想)'!AA42</f>
        <v>0</v>
      </c>
      <c r="AB42" s="20">
        <f>'伤害统计(理想)'!AB42</f>
        <v>0</v>
      </c>
      <c r="AC42" s="29"/>
    </row>
    <row r="43" spans="1:29">
      <c r="A43" s="20" t="str">
        <f>'伤害统计(理想)'!A43</f>
        <v>飞剑5</v>
      </c>
      <c r="B43" s="20">
        <f>'伤害统计(理想)'!B43</f>
        <v>99</v>
      </c>
      <c r="C43" s="20">
        <f>'伤害统计(理想)'!C43</f>
        <v>0</v>
      </c>
      <c r="D43" s="20">
        <f>'伤害统计(理想)'!D43</f>
        <v>5</v>
      </c>
      <c r="E43" s="20">
        <f>'伤害统计(理想)'!E43</f>
        <v>10</v>
      </c>
      <c r="F43" s="20">
        <f>'伤害统计(理想)'!F43</f>
        <v>2</v>
      </c>
      <c r="G43" s="20">
        <f>'伤害统计(理想)'!G43</f>
        <v>0</v>
      </c>
      <c r="H43" s="20">
        <f>'伤害统计(理想)'!H43</f>
        <v>2</v>
      </c>
      <c r="I43" s="20">
        <f>'伤害统计(理想)'!I43</f>
        <v>4</v>
      </c>
      <c r="J43" s="20">
        <f>'伤害统计(理想)'!J43</f>
        <v>0</v>
      </c>
      <c r="K43" s="20">
        <f>'伤害统计(理想)'!K43</f>
        <v>122</v>
      </c>
      <c r="L43" s="20">
        <f>'伤害统计(理想)'!L43</f>
        <v>0</v>
      </c>
      <c r="M43" s="20">
        <f>'伤害统计(理想)'!M43</f>
        <v>0</v>
      </c>
      <c r="N43" s="20">
        <f>'伤害统计(理想)'!N43</f>
        <v>4</v>
      </c>
      <c r="O43" s="20" t="str">
        <f>'伤害统计(理想)'!O43</f>
        <v>颠越苍穹击</v>
      </c>
      <c r="P43" s="20">
        <f>'伤害统计(理想)'!P43</f>
        <v>168</v>
      </c>
      <c r="Q43" s="20">
        <f>'伤害统计(理想)'!Q43</f>
        <v>21612014</v>
      </c>
      <c r="R43" s="20">
        <f>'伤害统计(理想)'!R43</f>
        <v>0.100066291791812</v>
      </c>
      <c r="S43" s="20">
        <f>'伤害统计(理想)'!S43</f>
        <v>0</v>
      </c>
      <c r="T43" s="20">
        <f>'伤害统计(理想)'!T43</f>
        <v>0</v>
      </c>
      <c r="U43" s="20">
        <f>'伤害统计(理想)'!U43</f>
        <v>0</v>
      </c>
      <c r="V43" s="20">
        <f>'伤害统计(理想)'!V43</f>
        <v>0</v>
      </c>
      <c r="W43" s="20">
        <f>'伤害统计(理想)'!W43</f>
        <v>0</v>
      </c>
      <c r="X43" s="20">
        <f>'伤害统计(理想)'!X43</f>
        <v>0</v>
      </c>
      <c r="Y43" s="20">
        <f>'伤害统计(理想)'!Y43</f>
        <v>0</v>
      </c>
      <c r="Z43" s="20">
        <f>'伤害统计(理想)'!Z43</f>
        <v>0</v>
      </c>
      <c r="AA43" s="20">
        <f>'伤害统计(理想)'!AA43</f>
        <v>0</v>
      </c>
      <c r="AB43" s="20">
        <f>'伤害统计(理想)'!AB43</f>
        <v>0</v>
      </c>
      <c r="AC43" s="29"/>
    </row>
    <row r="44" spans="1:29">
      <c r="A44" s="20" t="str">
        <f>'伤害统计(理想)'!A44</f>
        <v>颠越苍穹击</v>
      </c>
      <c r="B44" s="20">
        <f>'伤害统计(理想)'!B44</f>
        <v>28</v>
      </c>
      <c r="C44" s="20">
        <f>'伤害统计(理想)'!C44</f>
        <v>0</v>
      </c>
      <c r="D44" s="20">
        <f>'伤害统计(理想)'!D44</f>
        <v>0</v>
      </c>
      <c r="E44" s="20">
        <f>'伤害统计(理想)'!E44</f>
        <v>100</v>
      </c>
      <c r="F44" s="20">
        <f>'伤害统计(理想)'!F44</f>
        <v>0</v>
      </c>
      <c r="G44" s="20">
        <f>'伤害统计(理想)'!G44</f>
        <v>0</v>
      </c>
      <c r="H44" s="20">
        <f>'伤害统计(理想)'!H44</f>
        <v>0</v>
      </c>
      <c r="I44" s="20">
        <f>'伤害统计(理想)'!I44</f>
        <v>40</v>
      </c>
      <c r="J44" s="20">
        <f>'伤害统计(理想)'!J44</f>
        <v>0</v>
      </c>
      <c r="K44" s="20">
        <f>'伤害统计(理想)'!K44</f>
        <v>168</v>
      </c>
      <c r="L44" s="20">
        <f>'伤害统计(理想)'!L44</f>
        <v>168</v>
      </c>
      <c r="M44" s="20">
        <f>'伤害统计(理想)'!M44</f>
        <v>168</v>
      </c>
      <c r="N44" s="20">
        <f>'伤害统计(理想)'!N44</f>
        <v>5</v>
      </c>
      <c r="O44" s="20" t="str">
        <f>'伤害统计(理想)'!O44</f>
        <v>六合</v>
      </c>
      <c r="P44" s="20">
        <f>'伤害统计(理想)'!P44</f>
        <v>93</v>
      </c>
      <c r="Q44" s="20">
        <f>'伤害统计(理想)'!Q44</f>
        <v>13289482</v>
      </c>
      <c r="R44" s="20">
        <f>'伤害统计(理想)'!R44</f>
        <v>0.0615319416123844</v>
      </c>
      <c r="S44" s="20">
        <f>'伤害统计(理想)'!S44</f>
        <v>0</v>
      </c>
      <c r="T44" s="20">
        <f>'伤害统计(理想)'!T44</f>
        <v>0</v>
      </c>
      <c r="U44" s="20">
        <f>'伤害统计(理想)'!U44</f>
        <v>0</v>
      </c>
      <c r="V44" s="20">
        <f>'伤害统计(理想)'!V44</f>
        <v>0</v>
      </c>
      <c r="W44" s="20">
        <f>'伤害统计(理想)'!W44</f>
        <v>0</v>
      </c>
      <c r="X44" s="20">
        <f>'伤害统计(理想)'!X44</f>
        <v>0</v>
      </c>
      <c r="Y44" s="20">
        <f>'伤害统计(理想)'!Y44</f>
        <v>0</v>
      </c>
      <c r="Z44" s="20">
        <f>'伤害统计(理想)'!Z44</f>
        <v>0</v>
      </c>
      <c r="AA44" s="20">
        <f>'伤害统计(理想)'!AA44</f>
        <v>0</v>
      </c>
      <c r="AB44" s="20">
        <f>'伤害统计(理想)'!AB44</f>
        <v>0</v>
      </c>
      <c r="AC44" s="29"/>
    </row>
    <row r="45" spans="1:29">
      <c r="A45" s="20" t="str">
        <f>'伤害统计(理想)'!A45</f>
        <v>五方行尽</v>
      </c>
      <c r="B45" s="20">
        <f>'伤害统计(理想)'!B45</f>
        <v>7</v>
      </c>
      <c r="C45" s="20">
        <f>'伤害统计(理想)'!C45</f>
        <v>0</v>
      </c>
      <c r="D45" s="20">
        <f>'伤害统计(理想)'!D45</f>
        <v>0</v>
      </c>
      <c r="E45" s="20">
        <f>'伤害统计(理想)'!E45</f>
        <v>0</v>
      </c>
      <c r="F45" s="20">
        <f>'伤害统计(理想)'!F45</f>
        <v>0</v>
      </c>
      <c r="G45" s="20">
        <f>'伤害统计(理想)'!G45</f>
        <v>0</v>
      </c>
      <c r="H45" s="20">
        <f>'伤害统计(理想)'!H45</f>
        <v>0</v>
      </c>
      <c r="I45" s="20">
        <f>'伤害统计(理想)'!I45</f>
        <v>0</v>
      </c>
      <c r="J45" s="20">
        <f>'伤害统计(理想)'!J45</f>
        <v>0</v>
      </c>
      <c r="K45" s="20">
        <f>'伤害统计(理想)'!K45</f>
        <v>7</v>
      </c>
      <c r="L45" s="20">
        <f>'伤害统计(理想)'!L45</f>
        <v>7</v>
      </c>
      <c r="M45" s="20">
        <f>'伤害统计(理想)'!M45</f>
        <v>0</v>
      </c>
      <c r="N45" s="20">
        <f>'伤害统计(理想)'!N45</f>
        <v>6</v>
      </c>
      <c r="O45" s="20" t="str">
        <f>'伤害统计(理想)'!O45</f>
        <v>四象</v>
      </c>
      <c r="P45" s="20">
        <f>'伤害统计(理想)'!P45</f>
        <v>65</v>
      </c>
      <c r="Q45" s="20">
        <f>'伤害统计(理想)'!Q45</f>
        <v>26849390</v>
      </c>
      <c r="R45" s="20">
        <f>'伤害统计(理想)'!R45</f>
        <v>0.124315988975954</v>
      </c>
      <c r="S45" s="20">
        <f>'伤害统计(理想)'!S45</f>
        <v>0</v>
      </c>
      <c r="T45" s="20">
        <f>'伤害统计(理想)'!T45</f>
        <v>0</v>
      </c>
      <c r="U45" s="20">
        <f>'伤害统计(理想)'!U45</f>
        <v>0</v>
      </c>
      <c r="V45" s="20">
        <f>'伤害统计(理想)'!V45</f>
        <v>0</v>
      </c>
      <c r="W45" s="20">
        <f>'伤害统计(理想)'!W45</f>
        <v>0</v>
      </c>
      <c r="X45" s="20">
        <f>'伤害统计(理想)'!X45</f>
        <v>0</v>
      </c>
      <c r="Y45" s="20">
        <f>'伤害统计(理想)'!Y45</f>
        <v>0</v>
      </c>
      <c r="Z45" s="20">
        <f>'伤害统计(理想)'!Z45</f>
        <v>0</v>
      </c>
      <c r="AA45" s="20">
        <f>'伤害统计(理想)'!AA45</f>
        <v>0</v>
      </c>
      <c r="AB45" s="20">
        <f>'伤害统计(理想)'!AB45</f>
        <v>0</v>
      </c>
      <c r="AC45" s="29"/>
    </row>
    <row r="46" spans="1:29">
      <c r="A46" s="20" t="str">
        <f>'伤害统计(理想)'!A46</f>
        <v>四象轮回</v>
      </c>
      <c r="B46" s="20">
        <f>'伤害统计(理想)'!B46</f>
        <v>42</v>
      </c>
      <c r="C46" s="20">
        <f>'伤害统计(理想)'!C46</f>
        <v>0</v>
      </c>
      <c r="D46" s="20">
        <f>'伤害统计(理想)'!D46</f>
        <v>5</v>
      </c>
      <c r="E46" s="20">
        <f>'伤害统计(理想)'!E46</f>
        <v>10</v>
      </c>
      <c r="F46" s="20">
        <f>'伤害统计(理想)'!F46</f>
        <v>2</v>
      </c>
      <c r="G46" s="20">
        <f>'伤害统计(理想)'!G46</f>
        <v>0</v>
      </c>
      <c r="H46" s="20">
        <f>'伤害统计(理想)'!H46</f>
        <v>2</v>
      </c>
      <c r="I46" s="20">
        <f>'伤害统计(理想)'!I46</f>
        <v>4</v>
      </c>
      <c r="J46" s="20">
        <f>'伤害统计(理想)'!J46</f>
        <v>0</v>
      </c>
      <c r="K46" s="20">
        <f>'伤害统计(理想)'!K46</f>
        <v>65</v>
      </c>
      <c r="L46" s="20">
        <f>'伤害统计(理想)'!L46</f>
        <v>65</v>
      </c>
      <c r="M46" s="20">
        <f>'伤害统计(理想)'!M46</f>
        <v>0</v>
      </c>
      <c r="N46" s="20">
        <f>'伤害统计(理想)'!N46</f>
        <v>7</v>
      </c>
      <c r="O46" s="20" t="str">
        <f>'伤害统计(理想)'!O46</f>
        <v>万世不竭</v>
      </c>
      <c r="P46" s="20">
        <f>'伤害统计(理想)'!P46</f>
        <v>7</v>
      </c>
      <c r="Q46" s="20">
        <f>'伤害统计(理想)'!Q46</f>
        <v>4554092</v>
      </c>
      <c r="R46" s="20">
        <f>'伤害统计(理想)'!R46</f>
        <v>0.0210860079453381</v>
      </c>
      <c r="S46" s="20">
        <f>'伤害统计(理想)'!S46</f>
        <v>0</v>
      </c>
      <c r="T46" s="20">
        <f>'伤害统计(理想)'!T46</f>
        <v>0</v>
      </c>
      <c r="U46" s="20">
        <f>'伤害统计(理想)'!U46</f>
        <v>0</v>
      </c>
      <c r="V46" s="20">
        <f>'伤害统计(理想)'!V46</f>
        <v>0</v>
      </c>
      <c r="W46" s="20">
        <f>'伤害统计(理想)'!W46</f>
        <v>0</v>
      </c>
      <c r="X46" s="20">
        <f>'伤害统计(理想)'!X46</f>
        <v>0</v>
      </c>
      <c r="Y46" s="20">
        <f>'伤害统计(理想)'!Y46</f>
        <v>0</v>
      </c>
      <c r="Z46" s="20">
        <f>'伤害统计(理想)'!Z46</f>
        <v>0</v>
      </c>
      <c r="AA46" s="20">
        <f>'伤害统计(理想)'!AA46</f>
        <v>0</v>
      </c>
      <c r="AB46" s="20">
        <f>'伤害统计(理想)'!AB46</f>
        <v>0</v>
      </c>
      <c r="AC46" s="32"/>
    </row>
    <row r="47" spans="1:29">
      <c r="A47" s="20" t="str">
        <f>'伤害统计(理想)'!A47</f>
        <v>两仪化形(5)</v>
      </c>
      <c r="B47" s="20">
        <f>'伤害统计(理想)'!B47</f>
        <v>42</v>
      </c>
      <c r="C47" s="20">
        <f>'伤害统计(理想)'!C47</f>
        <v>0</v>
      </c>
      <c r="D47" s="20">
        <f>'伤害统计(理想)'!D47</f>
        <v>5</v>
      </c>
      <c r="E47" s="20">
        <f>'伤害统计(理想)'!E47</f>
        <v>15</v>
      </c>
      <c r="F47" s="20">
        <f>'伤害统计(理想)'!F47</f>
        <v>2</v>
      </c>
      <c r="G47" s="20">
        <f>'伤害统计(理想)'!G47</f>
        <v>0</v>
      </c>
      <c r="H47" s="20">
        <f>'伤害统计(理想)'!H47</f>
        <v>2</v>
      </c>
      <c r="I47" s="20">
        <f>'伤害统计(理想)'!I47</f>
        <v>6</v>
      </c>
      <c r="J47" s="20">
        <f>'伤害统计(理想)'!J47</f>
        <v>0</v>
      </c>
      <c r="K47" s="20">
        <f>'伤害统计(理想)'!K47</f>
        <v>72</v>
      </c>
      <c r="L47" s="20">
        <f>'伤害统计(理想)'!L47</f>
        <v>84</v>
      </c>
      <c r="M47" s="20">
        <f>'伤害统计(理想)'!M47</f>
        <v>30</v>
      </c>
      <c r="N47" s="20">
        <f>'伤害统计(理想)'!N47</f>
        <v>8</v>
      </c>
      <c r="O47" s="20" t="str">
        <f>'伤害统计(理想)'!O47</f>
        <v>空啸太玄剑</v>
      </c>
      <c r="P47" s="20">
        <f>'伤害统计(理想)'!P47</f>
        <v>0</v>
      </c>
      <c r="Q47" s="20">
        <f>'伤害统计(理想)'!Q47</f>
        <v>0</v>
      </c>
      <c r="R47" s="20">
        <f>'伤害统计(理想)'!R47</f>
        <v>0</v>
      </c>
      <c r="S47" s="20">
        <f>'伤害统计(理想)'!S47</f>
        <v>0</v>
      </c>
      <c r="T47" s="20">
        <f>'伤害统计(理想)'!T47</f>
        <v>0</v>
      </c>
      <c r="U47" s="20">
        <f>'伤害统计(理想)'!U47</f>
        <v>0</v>
      </c>
      <c r="V47" s="20">
        <f>'伤害统计(理想)'!V47</f>
        <v>0</v>
      </c>
      <c r="W47" s="20">
        <f>'伤害统计(理想)'!W47</f>
        <v>0</v>
      </c>
      <c r="X47" s="20">
        <f>'伤害统计(理想)'!X47</f>
        <v>0</v>
      </c>
      <c r="Y47" s="20">
        <f>'伤害统计(理想)'!Y47</f>
        <v>0</v>
      </c>
      <c r="Z47" s="20">
        <f>'伤害统计(理想)'!Z47</f>
        <v>0</v>
      </c>
      <c r="AA47" s="20">
        <f>'伤害统计(理想)'!AA47</f>
        <v>0</v>
      </c>
      <c r="AB47" s="20">
        <f>'伤害统计(理想)'!AB47</f>
        <v>0</v>
      </c>
      <c r="AC47" s="29"/>
    </row>
    <row r="48" spans="1:29">
      <c r="A48" s="20" t="str">
        <f>'伤害统计(理想)'!A48</f>
        <v>两仪化形(4</v>
      </c>
      <c r="B48" s="20">
        <f>'伤害统计(理想)'!B48</f>
        <v>12</v>
      </c>
      <c r="C48" s="20">
        <f>'伤害统计(理想)'!C48</f>
        <v>0</v>
      </c>
      <c r="D48" s="20">
        <f>'伤害统计(理想)'!D48</f>
        <v>0</v>
      </c>
      <c r="E48" s="20">
        <f>'伤害统计(理想)'!E48</f>
        <v>0</v>
      </c>
      <c r="F48" s="20">
        <f>'伤害统计(理想)'!F48</f>
        <v>0</v>
      </c>
      <c r="G48" s="20">
        <f>'伤害统计(理想)'!G48</f>
        <v>0</v>
      </c>
      <c r="H48" s="20">
        <f>'伤害统计(理想)'!H48</f>
        <v>0</v>
      </c>
      <c r="I48" s="20">
        <f>'伤害统计(理想)'!I48</f>
        <v>0</v>
      </c>
      <c r="J48" s="20">
        <f>'伤害统计(理想)'!J48</f>
        <v>0</v>
      </c>
      <c r="K48" s="20">
        <f>'伤害统计(理想)'!K48</f>
        <v>12</v>
      </c>
      <c r="L48" s="20">
        <f>'伤害统计(理想)'!L48</f>
        <v>0</v>
      </c>
      <c r="M48" s="20">
        <f>'伤害统计(理想)'!M48</f>
        <v>0</v>
      </c>
      <c r="N48" s="20">
        <f>'伤害统计(理想)'!N48</f>
        <v>9</v>
      </c>
      <c r="O48" s="20" t="str">
        <f>'伤害统计(理想)'!O48</f>
        <v>白鹤舒翅</v>
      </c>
      <c r="P48" s="20">
        <f>'伤害统计(理想)'!P48</f>
        <v>0</v>
      </c>
      <c r="Q48" s="20">
        <f>'伤害统计(理想)'!Q48</f>
        <v>0</v>
      </c>
      <c r="R48" s="20">
        <f>'伤害统计(理想)'!R48</f>
        <v>0</v>
      </c>
      <c r="S48" s="20">
        <f>'伤害统计(理想)'!S48</f>
        <v>0</v>
      </c>
      <c r="T48" s="20">
        <f>'伤害统计(理想)'!T48</f>
        <v>0</v>
      </c>
      <c r="U48" s="20">
        <f>'伤害统计(理想)'!U48</f>
        <v>0</v>
      </c>
      <c r="V48" s="20">
        <f>'伤害统计(理想)'!V48</f>
        <v>0</v>
      </c>
      <c r="W48" s="20">
        <f>'伤害统计(理想)'!W48</f>
        <v>0</v>
      </c>
      <c r="X48" s="20">
        <f>'伤害统计(理想)'!X48</f>
        <v>0</v>
      </c>
      <c r="Y48" s="20">
        <f>'伤害统计(理想)'!Y48</f>
        <v>0</v>
      </c>
      <c r="Z48" s="20">
        <f>'伤害统计(理想)'!Z48</f>
        <v>0</v>
      </c>
      <c r="AA48" s="20">
        <f>'伤害统计(理想)'!AA48</f>
        <v>0</v>
      </c>
      <c r="AB48" s="20">
        <f>'伤害统计(理想)'!AB48</f>
        <v>0</v>
      </c>
      <c r="AC48" s="29"/>
    </row>
    <row r="49" ht="17.25" spans="1:39">
      <c r="A49" s="20" t="str">
        <f>'伤害统计(理想)'!A49</f>
        <v>两仪化形(3.5</v>
      </c>
      <c r="B49" s="20">
        <f>'伤害统计(理想)'!B49</f>
        <v>0</v>
      </c>
      <c r="C49" s="20">
        <f>'伤害统计(理想)'!C49</f>
        <v>0</v>
      </c>
      <c r="D49" s="20">
        <f>'伤害统计(理想)'!D49</f>
        <v>0</v>
      </c>
      <c r="E49" s="20">
        <f>'伤害统计(理想)'!E49</f>
        <v>0</v>
      </c>
      <c r="F49" s="20">
        <f>'伤害统计(理想)'!F49</f>
        <v>0</v>
      </c>
      <c r="G49" s="20">
        <f>'伤害统计(理想)'!G49</f>
        <v>0</v>
      </c>
      <c r="H49" s="20">
        <f>'伤害统计(理想)'!H49</f>
        <v>0</v>
      </c>
      <c r="I49" s="20">
        <f>'伤害统计(理想)'!I49</f>
        <v>0</v>
      </c>
      <c r="J49" s="20">
        <f>'伤害统计(理想)'!J49</f>
        <v>0</v>
      </c>
      <c r="K49" s="20">
        <f>'伤害统计(理想)'!K49</f>
        <v>0</v>
      </c>
      <c r="L49" s="20">
        <f>'伤害统计(理想)'!L49</f>
        <v>0</v>
      </c>
      <c r="M49" s="20">
        <f>'伤害统计(理想)'!M49</f>
        <v>0</v>
      </c>
      <c r="N49" s="20">
        <f>'伤害统计(理想)'!N49</f>
        <v>10</v>
      </c>
      <c r="O49" s="20" t="str">
        <f>'伤害统计(理想)'!O49</f>
        <v>厚亡</v>
      </c>
      <c r="P49" s="20">
        <f>'伤害统计(理想)'!P49</f>
        <v>0</v>
      </c>
      <c r="Q49" s="20">
        <f>'伤害统计(理想)'!Q49</f>
        <v>0</v>
      </c>
      <c r="R49" s="20">
        <f>'伤害统计(理想)'!R49</f>
        <v>0</v>
      </c>
      <c r="S49" s="20">
        <f>'伤害统计(理想)'!S49</f>
        <v>0</v>
      </c>
      <c r="T49" s="20">
        <f>'伤害统计(理想)'!T49</f>
        <v>0</v>
      </c>
      <c r="U49" s="20">
        <f>'伤害统计(理想)'!U49</f>
        <v>0</v>
      </c>
      <c r="V49" s="20">
        <f>'伤害统计(理想)'!V49</f>
        <v>0</v>
      </c>
      <c r="W49" s="20">
        <f>'伤害统计(理想)'!W49</f>
        <v>0</v>
      </c>
      <c r="X49" s="20">
        <f>'伤害统计(理想)'!X49</f>
        <v>0</v>
      </c>
      <c r="Y49" s="20">
        <f>'伤害统计(理想)'!Y49</f>
        <v>0</v>
      </c>
      <c r="Z49" s="20">
        <f>'伤害统计(理想)'!Z49</f>
        <v>0</v>
      </c>
      <c r="AA49" s="20">
        <f>'伤害统计(理想)'!AA49</f>
        <v>0</v>
      </c>
      <c r="AB49" s="20">
        <f>'伤害统计(理想)'!AB49</f>
        <v>0</v>
      </c>
      <c r="AC49" s="29"/>
      <c r="AE49" s="33"/>
      <c r="AF49" s="33"/>
      <c r="AG49" s="33"/>
      <c r="AH49" s="34"/>
      <c r="AI49" s="34"/>
      <c r="AJ49" s="34"/>
      <c r="AK49" s="34"/>
      <c r="AL49" s="34"/>
      <c r="AM49" s="34"/>
    </row>
    <row r="50" spans="1:29">
      <c r="A50" s="20" t="str">
        <f>'伤害统计(理想)'!A50</f>
        <v>六合1</v>
      </c>
      <c r="B50" s="20">
        <f>'伤害统计(理想)'!B50</f>
        <v>13</v>
      </c>
      <c r="C50" s="20">
        <f>'伤害统计(理想)'!C50</f>
        <v>0</v>
      </c>
      <c r="D50" s="20">
        <f>'伤害统计(理想)'!D50</f>
        <v>0</v>
      </c>
      <c r="E50" s="20">
        <f>'伤害统计(理想)'!E50</f>
        <v>0</v>
      </c>
      <c r="F50" s="20">
        <f>'伤害统计(理想)'!F50</f>
        <v>0</v>
      </c>
      <c r="G50" s="20">
        <f>'伤害统计(理想)'!G50</f>
        <v>0</v>
      </c>
      <c r="H50" s="20">
        <f>'伤害统计(理想)'!H50</f>
        <v>0</v>
      </c>
      <c r="I50" s="20">
        <f>'伤害统计(理想)'!I50</f>
        <v>0</v>
      </c>
      <c r="J50" s="20">
        <f>'伤害统计(理想)'!J50</f>
        <v>28</v>
      </c>
      <c r="K50" s="20">
        <f>'伤害统计(理想)'!K50</f>
        <v>41</v>
      </c>
      <c r="L50" s="20">
        <f>'伤害统计(理想)'!L50</f>
        <v>93</v>
      </c>
      <c r="M50" s="20">
        <f>'伤害统计(理想)'!M50</f>
        <v>65</v>
      </c>
      <c r="N50" s="20">
        <f>'伤害统计(理想)'!N50</f>
        <v>11</v>
      </c>
      <c r="O50" s="20" t="str">
        <f>'伤害统计(理想)'!O50</f>
        <v>昆吾·弦刃</v>
      </c>
      <c r="P50" s="20">
        <f>'伤害统计(理想)'!P50</f>
        <v>16</v>
      </c>
      <c r="Q50" s="20">
        <f>'伤害统计(理想)'!Q50</f>
        <v>810667</v>
      </c>
      <c r="R50" s="20">
        <f>'伤害统计(理想)'!R50</f>
        <v>0.00375348824815646</v>
      </c>
      <c r="S50" s="20">
        <f>'伤害统计(理想)'!S50</f>
        <v>0</v>
      </c>
      <c r="T50" s="20">
        <f>'伤害统计(理想)'!T50</f>
        <v>0</v>
      </c>
      <c r="U50" s="20">
        <f>'伤害统计(理想)'!U50</f>
        <v>0</v>
      </c>
      <c r="V50" s="20">
        <f>'伤害统计(理想)'!V50</f>
        <v>0</v>
      </c>
      <c r="W50" s="20">
        <f>'伤害统计(理想)'!W50</f>
        <v>0</v>
      </c>
      <c r="X50" s="20">
        <f>'伤害统计(理想)'!X50</f>
        <v>0</v>
      </c>
      <c r="Y50" s="20">
        <f>'伤害统计(理想)'!Y50</f>
        <v>0</v>
      </c>
      <c r="Z50" s="20">
        <f>'伤害统计(理想)'!Z50</f>
        <v>0</v>
      </c>
      <c r="AA50" s="20">
        <f>'伤害统计(理想)'!AA50</f>
        <v>0</v>
      </c>
      <c r="AB50" s="20">
        <f>'伤害统计(理想)'!AB50</f>
        <v>0</v>
      </c>
      <c r="AC50" s="29"/>
    </row>
    <row r="51" spans="1:31">
      <c r="A51" s="20" t="str">
        <f>'伤害统计(理想)'!A51</f>
        <v>六合2</v>
      </c>
      <c r="B51" s="20">
        <f>'伤害统计(理想)'!B51</f>
        <v>6</v>
      </c>
      <c r="C51" s="20">
        <f>'伤害统计(理想)'!C51</f>
        <v>0</v>
      </c>
      <c r="D51" s="20">
        <f>'伤害统计(理想)'!D51</f>
        <v>0</v>
      </c>
      <c r="E51" s="20">
        <f>'伤害统计(理想)'!E51</f>
        <v>5</v>
      </c>
      <c r="F51" s="20">
        <f>'伤害统计(理想)'!F51</f>
        <v>0</v>
      </c>
      <c r="G51" s="20">
        <f>'伤害统计(理想)'!G51</f>
        <v>0</v>
      </c>
      <c r="H51" s="20">
        <f>'伤害统计(理想)'!H51</f>
        <v>0</v>
      </c>
      <c r="I51" s="20">
        <f>'伤害统计(理想)'!I51</f>
        <v>2</v>
      </c>
      <c r="J51" s="20">
        <f>'伤害统计(理想)'!J51</f>
        <v>0</v>
      </c>
      <c r="K51" s="20">
        <f>'伤害统计(理想)'!K51</f>
        <v>13</v>
      </c>
      <c r="L51" s="20">
        <f>'伤害统计(理想)'!L51</f>
        <v>0</v>
      </c>
      <c r="M51" s="20">
        <f>'伤害统计(理想)'!M51</f>
        <v>0</v>
      </c>
      <c r="N51" s="20">
        <f>'伤害统计(理想)'!N51</f>
        <v>12</v>
      </c>
      <c r="O51" s="20" t="str">
        <f>'伤害统计(理想)'!O51</f>
        <v>空啸太玄剑·定</v>
      </c>
      <c r="P51" s="20">
        <f>'伤害统计(理想)'!P51</f>
        <v>0</v>
      </c>
      <c r="Q51" s="20">
        <f>'伤害统计(理想)'!Q51</f>
        <v>0</v>
      </c>
      <c r="R51" s="20">
        <f>'伤害统计(理想)'!R51</f>
        <v>0</v>
      </c>
      <c r="S51" s="20">
        <f>'伤害统计(理想)'!S51</f>
        <v>0</v>
      </c>
      <c r="T51" s="20">
        <f>'伤害统计(理想)'!T51</f>
        <v>0</v>
      </c>
      <c r="U51" s="20">
        <f>'伤害统计(理想)'!U51</f>
        <v>0</v>
      </c>
      <c r="V51" s="20">
        <f>'伤害统计(理想)'!V51</f>
        <v>0</v>
      </c>
      <c r="W51" s="20">
        <f>'伤害统计(理想)'!W51</f>
        <v>0</v>
      </c>
      <c r="X51" s="20">
        <f>'伤害统计(理想)'!X51</f>
        <v>0</v>
      </c>
      <c r="Y51" s="20">
        <f>'伤害统计(理想)'!Y51</f>
        <v>0</v>
      </c>
      <c r="Z51" s="20">
        <f>'伤害统计(理想)'!Z51</f>
        <v>0</v>
      </c>
      <c r="AA51" s="20">
        <f>'伤害统计(理想)'!AA51</f>
        <v>0</v>
      </c>
      <c r="AB51" s="20">
        <f>'伤害统计(理想)'!AB51</f>
        <v>0</v>
      </c>
      <c r="AC51" s="29"/>
      <c r="AE51" s="33"/>
    </row>
    <row r="52" spans="1:29">
      <c r="A52" s="20" t="str">
        <f>'伤害统计(理想)'!A52</f>
        <v>六合3</v>
      </c>
      <c r="B52" s="20">
        <f>'伤害统计(理想)'!B52</f>
        <v>6</v>
      </c>
      <c r="C52" s="20">
        <f>'伤害统计(理想)'!C52</f>
        <v>0</v>
      </c>
      <c r="D52" s="20">
        <f>'伤害统计(理想)'!D52</f>
        <v>0</v>
      </c>
      <c r="E52" s="20">
        <f>'伤害统计(理想)'!E52</f>
        <v>5</v>
      </c>
      <c r="F52" s="20">
        <f>'伤害统计(理想)'!F52</f>
        <v>0</v>
      </c>
      <c r="G52" s="20">
        <f>'伤害统计(理想)'!G52</f>
        <v>0</v>
      </c>
      <c r="H52" s="20">
        <f>'伤害统计(理想)'!H52</f>
        <v>0</v>
      </c>
      <c r="I52" s="20">
        <f>'伤害统计(理想)'!I52</f>
        <v>2</v>
      </c>
      <c r="J52" s="20">
        <f>'伤害统计(理想)'!J52</f>
        <v>0</v>
      </c>
      <c r="K52" s="20">
        <f>'伤害统计(理想)'!K52</f>
        <v>13</v>
      </c>
      <c r="L52" s="20">
        <f>'伤害统计(理想)'!L52</f>
        <v>0</v>
      </c>
      <c r="M52" s="20">
        <f>'伤害统计(理想)'!M52</f>
        <v>0</v>
      </c>
      <c r="N52" s="20">
        <f>'伤害统计(理想)'!N52</f>
        <v>13</v>
      </c>
      <c r="O52" s="20" t="str">
        <f>'伤害统计(理想)'!O52</f>
        <v>刃凌</v>
      </c>
      <c r="P52" s="20">
        <f>'伤害统计(理想)'!P52</f>
        <v>23</v>
      </c>
      <c r="Q52" s="20">
        <f>'伤害统计(理想)'!Q52</f>
        <v>732384</v>
      </c>
      <c r="R52" s="20">
        <f>'伤害统计(理想)'!R52</f>
        <v>0.00339102829785575</v>
      </c>
      <c r="S52" s="20">
        <f>'伤害统计(理想)'!S52</f>
        <v>0</v>
      </c>
      <c r="T52" s="20">
        <f>'伤害统计(理想)'!T52</f>
        <v>0</v>
      </c>
      <c r="U52" s="20">
        <f>'伤害统计(理想)'!U52</f>
        <v>0</v>
      </c>
      <c r="V52" s="20">
        <f>'伤害统计(理想)'!V52</f>
        <v>0</v>
      </c>
      <c r="W52" s="20">
        <f>'伤害统计(理想)'!W52</f>
        <v>0</v>
      </c>
      <c r="X52" s="20">
        <f>'伤害统计(理想)'!X52</f>
        <v>0</v>
      </c>
      <c r="Y52" s="20">
        <f>'伤害统计(理想)'!Y52</f>
        <v>0</v>
      </c>
      <c r="Z52" s="20">
        <f>'伤害统计(理想)'!Z52</f>
        <v>0</v>
      </c>
      <c r="AA52" s="20">
        <f>'伤害统计(理想)'!AA52</f>
        <v>0</v>
      </c>
      <c r="AB52" s="20">
        <f>'伤害统计(理想)'!AB52</f>
        <v>0</v>
      </c>
      <c r="AC52" s="29"/>
    </row>
    <row r="53" spans="1:31">
      <c r="A53" s="20" t="str">
        <f>'伤害统计(理想)'!A53</f>
        <v>六合4</v>
      </c>
      <c r="B53" s="20">
        <f>'伤害统计(理想)'!B53</f>
        <v>6</v>
      </c>
      <c r="C53" s="20">
        <f>'伤害统计(理想)'!C53</f>
        <v>0</v>
      </c>
      <c r="D53" s="20">
        <f>'伤害统计(理想)'!D53</f>
        <v>0</v>
      </c>
      <c r="E53" s="20">
        <f>'伤害统计(理想)'!E53</f>
        <v>5</v>
      </c>
      <c r="F53" s="20">
        <f>'伤害统计(理想)'!F53</f>
        <v>0</v>
      </c>
      <c r="G53" s="20">
        <f>'伤害统计(理想)'!G53</f>
        <v>0</v>
      </c>
      <c r="H53" s="20">
        <f>'伤害统计(理想)'!H53</f>
        <v>0</v>
      </c>
      <c r="I53" s="20">
        <f>'伤害统计(理想)'!I53</f>
        <v>2</v>
      </c>
      <c r="J53" s="20">
        <f>'伤害统计(理想)'!J53</f>
        <v>0</v>
      </c>
      <c r="K53" s="20">
        <f>'伤害统计(理想)'!K53</f>
        <v>13</v>
      </c>
      <c r="L53" s="20">
        <f>'伤害统计(理想)'!L53</f>
        <v>0</v>
      </c>
      <c r="M53" s="20">
        <f>'伤害统计(理想)'!M53</f>
        <v>0</v>
      </c>
      <c r="N53" s="20">
        <f>'伤害统计(理想)'!N53</f>
        <v>14</v>
      </c>
      <c r="O53" s="20" t="str">
        <f>'伤害统计(理想)'!O53</f>
        <v>五方行尽</v>
      </c>
      <c r="P53" s="20">
        <f>'伤害统计(理想)'!P53</f>
        <v>7</v>
      </c>
      <c r="Q53" s="20">
        <f>'伤害统计(理想)'!Q53</f>
        <v>370682</v>
      </c>
      <c r="R53" s="20">
        <f>'伤害统计(理想)'!R53</f>
        <v>0.00171630340300411</v>
      </c>
      <c r="S53" s="20">
        <f>'伤害统计(理想)'!S53</f>
        <v>0</v>
      </c>
      <c r="T53" s="20">
        <f>'伤害统计(理想)'!T53</f>
        <v>0</v>
      </c>
      <c r="U53" s="20">
        <f>'伤害统计(理想)'!U53</f>
        <v>0</v>
      </c>
      <c r="V53" s="20">
        <f>'伤害统计(理想)'!V53</f>
        <v>0</v>
      </c>
      <c r="W53" s="20">
        <f>'伤害统计(理想)'!W53</f>
        <v>0</v>
      </c>
      <c r="X53" s="20">
        <f>'伤害统计(理想)'!X53</f>
        <v>0</v>
      </c>
      <c r="Y53" s="20">
        <f>'伤害统计(理想)'!Y53</f>
        <v>0</v>
      </c>
      <c r="Z53" s="20">
        <f>'伤害统计(理想)'!Z53</f>
        <v>0</v>
      </c>
      <c r="AA53" s="20">
        <f>'伤害统计(理想)'!AA53</f>
        <v>0</v>
      </c>
      <c r="AB53" s="20">
        <f>'伤害统计(理想)'!AB53</f>
        <v>0</v>
      </c>
      <c r="AC53" s="29"/>
      <c r="AE53" s="33"/>
    </row>
    <row r="54" spans="1:29">
      <c r="A54" s="20" t="str">
        <f>'伤害统计(理想)'!A54</f>
        <v>六合5</v>
      </c>
      <c r="B54" s="20">
        <f>'伤害统计(理想)'!B54</f>
        <v>6</v>
      </c>
      <c r="C54" s="20">
        <f>'伤害统计(理想)'!C54</f>
        <v>0</v>
      </c>
      <c r="D54" s="20">
        <f>'伤害统计(理想)'!D54</f>
        <v>0</v>
      </c>
      <c r="E54" s="20">
        <f>'伤害统计(理想)'!E54</f>
        <v>5</v>
      </c>
      <c r="F54" s="20">
        <f>'伤害统计(理想)'!F54</f>
        <v>0</v>
      </c>
      <c r="G54" s="20">
        <f>'伤害统计(理想)'!G54</f>
        <v>0</v>
      </c>
      <c r="H54" s="20">
        <f>'伤害统计(理想)'!H54</f>
        <v>0</v>
      </c>
      <c r="I54" s="20">
        <f>'伤害统计(理想)'!I54</f>
        <v>2</v>
      </c>
      <c r="J54" s="20">
        <f>'伤害统计(理想)'!J54</f>
        <v>0</v>
      </c>
      <c r="K54" s="20">
        <f>'伤害统计(理想)'!K54</f>
        <v>13</v>
      </c>
      <c r="L54" s="20">
        <f>'伤害统计(理想)'!L54</f>
        <v>0</v>
      </c>
      <c r="M54" s="20">
        <f>'伤害统计(理想)'!M54</f>
        <v>0</v>
      </c>
      <c r="N54" s="20">
        <f>'伤害统计(理想)'!N54</f>
        <v>15</v>
      </c>
      <c r="O54" s="20" t="str">
        <f>'伤害统计(理想)'!O54</f>
        <v>三才化生</v>
      </c>
      <c r="P54" s="20">
        <f>'伤害统计(理想)'!P54</f>
        <v>14</v>
      </c>
      <c r="Q54" s="20">
        <f>'伤害统计(理想)'!Q54</f>
        <v>110917</v>
      </c>
      <c r="R54" s="20">
        <f>'伤害统计(理想)'!R54</f>
        <v>0.000513559397410738</v>
      </c>
      <c r="S54" s="20">
        <f>'伤害统计(理想)'!S54</f>
        <v>0</v>
      </c>
      <c r="T54" s="20">
        <f>'伤害统计(理想)'!T54</f>
        <v>0</v>
      </c>
      <c r="U54" s="20">
        <f>'伤害统计(理想)'!U54</f>
        <v>0</v>
      </c>
      <c r="V54" s="20">
        <f>'伤害统计(理想)'!V54</f>
        <v>0</v>
      </c>
      <c r="W54" s="20">
        <f>'伤害统计(理想)'!W54</f>
        <v>0</v>
      </c>
      <c r="X54" s="20">
        <f>'伤害统计(理想)'!X54</f>
        <v>0</v>
      </c>
      <c r="Y54" s="20">
        <f>'伤害统计(理想)'!Y54</f>
        <v>0</v>
      </c>
      <c r="Z54" s="20">
        <f>'伤害统计(理想)'!Z54</f>
        <v>0</v>
      </c>
      <c r="AA54" s="20">
        <f>'伤害统计(理想)'!AA54</f>
        <v>0</v>
      </c>
      <c r="AB54" s="20">
        <f>'伤害统计(理想)'!AB54</f>
        <v>0</v>
      </c>
      <c r="AC54" s="29"/>
    </row>
    <row r="55" spans="1:31">
      <c r="A55" s="20" t="str">
        <f>'伤害统计(理想)'!A55</f>
        <v>破</v>
      </c>
      <c r="B55" s="20">
        <f>'伤害统计(理想)'!B55</f>
        <v>54</v>
      </c>
      <c r="C55" s="20">
        <f>'伤害统计(理想)'!C55</f>
        <v>0</v>
      </c>
      <c r="D55" s="20">
        <f>'伤害统计(理想)'!D55</f>
        <v>5</v>
      </c>
      <c r="E55" s="20">
        <f>'伤害统计(理想)'!E55</f>
        <v>15</v>
      </c>
      <c r="F55" s="20">
        <f>'伤害统计(理想)'!F55</f>
        <v>2</v>
      </c>
      <c r="G55" s="20">
        <f>'伤害统计(理想)'!G55</f>
        <v>0</v>
      </c>
      <c r="H55" s="20">
        <f>'伤害统计(理想)'!H55</f>
        <v>2</v>
      </c>
      <c r="I55" s="20">
        <f>'伤害统计(理想)'!I55</f>
        <v>6</v>
      </c>
      <c r="J55" s="20">
        <f>'伤害统计(理想)'!J55</f>
        <v>0</v>
      </c>
      <c r="K55" s="20">
        <f>'伤害统计(理想)'!K55</f>
        <v>84</v>
      </c>
      <c r="L55" s="20">
        <f>'伤害统计(理想)'!L55</f>
        <v>91</v>
      </c>
      <c r="M55" s="20">
        <f>'伤害统计(理想)'!M55</f>
        <v>0</v>
      </c>
      <c r="N55" s="20">
        <f>'伤害统计(理想)'!N55</f>
        <v>16</v>
      </c>
      <c r="O55" s="20" t="str">
        <f>'伤害统计(理想)'!O55</f>
        <v>气竭(DOT)</v>
      </c>
      <c r="P55" s="20">
        <f>'伤害统计(理想)'!P55</f>
        <v>0</v>
      </c>
      <c r="Q55" s="20">
        <f>'伤害统计(理想)'!Q55</f>
        <v>0</v>
      </c>
      <c r="R55" s="20">
        <f>'伤害统计(理想)'!R55</f>
        <v>0</v>
      </c>
      <c r="S55" s="20">
        <f>'伤害统计(理想)'!S55</f>
        <v>0</v>
      </c>
      <c r="T55" s="20">
        <f>'伤害统计(理想)'!T55</f>
        <v>0</v>
      </c>
      <c r="U55" s="20">
        <f>'伤害统计(理想)'!U55</f>
        <v>0</v>
      </c>
      <c r="V55" s="20">
        <f>'伤害统计(理想)'!V55</f>
        <v>0</v>
      </c>
      <c r="W55" s="20">
        <f>'伤害统计(理想)'!W55</f>
        <v>0</v>
      </c>
      <c r="X55" s="20">
        <f>'伤害统计(理想)'!X55</f>
        <v>0</v>
      </c>
      <c r="Y55" s="20">
        <f>'伤害统计(理想)'!Y55</f>
        <v>0</v>
      </c>
      <c r="Z55" s="20">
        <f>'伤害统计(理想)'!Z55</f>
        <v>0</v>
      </c>
      <c r="AA55" s="20">
        <f>'伤害统计(理想)'!AA55</f>
        <v>0</v>
      </c>
      <c r="AB55" s="20">
        <f>'伤害统计(理想)'!AB55</f>
        <v>0</v>
      </c>
      <c r="AC55" s="29"/>
      <c r="AE55" s="33"/>
    </row>
    <row r="56" spans="1:29">
      <c r="A56" s="20" t="str">
        <f>'伤害统计(理想)'!A56</f>
        <v>破(4</v>
      </c>
      <c r="B56" s="20">
        <f>'伤害统计(理想)'!B56</f>
        <v>0</v>
      </c>
      <c r="C56" s="20">
        <f>'伤害统计(理想)'!C56</f>
        <v>0</v>
      </c>
      <c r="D56" s="20">
        <f>'伤害统计(理想)'!D56</f>
        <v>0</v>
      </c>
      <c r="E56" s="20">
        <f>'伤害统计(理想)'!E56</f>
        <v>0</v>
      </c>
      <c r="F56" s="20">
        <f>'伤害统计(理想)'!F56</f>
        <v>0</v>
      </c>
      <c r="G56" s="20">
        <f>'伤害统计(理想)'!G56</f>
        <v>0</v>
      </c>
      <c r="H56" s="20">
        <f>'伤害统计(理想)'!H56</f>
        <v>0</v>
      </c>
      <c r="I56" s="20">
        <f>'伤害统计(理想)'!I56</f>
        <v>0</v>
      </c>
      <c r="J56" s="20">
        <f>'伤害统计(理想)'!J56</f>
        <v>0</v>
      </c>
      <c r="K56" s="20">
        <f>'伤害统计(理想)'!K56</f>
        <v>0</v>
      </c>
      <c r="L56" s="20">
        <f>'伤害统计(理想)'!L56</f>
        <v>0</v>
      </c>
      <c r="M56" s="20">
        <f>'伤害统计(理想)'!M56</f>
        <v>0</v>
      </c>
      <c r="N56" s="20">
        <f>'伤害统计(理想)'!N56</f>
        <v>17</v>
      </c>
      <c r="O56" s="20" t="str">
        <f>'伤害统计(理想)'!O56</f>
        <v>星辰</v>
      </c>
      <c r="P56" s="20">
        <f>'伤害统计(理想)'!P56</f>
        <v>0</v>
      </c>
      <c r="Q56" s="20">
        <f>'伤害统计(理想)'!Q56</f>
        <v>0</v>
      </c>
      <c r="R56" s="20">
        <f>'伤害统计(理想)'!R56</f>
        <v>0</v>
      </c>
      <c r="S56" s="20">
        <f>'伤害统计(理想)'!S56</f>
        <v>0</v>
      </c>
      <c r="T56" s="20">
        <f>'伤害统计(理想)'!T56</f>
        <v>0</v>
      </c>
      <c r="U56" s="20">
        <f>'伤害统计(理想)'!U56</f>
        <v>0</v>
      </c>
      <c r="V56" s="20">
        <f>'伤害统计(理想)'!V56</f>
        <v>0</v>
      </c>
      <c r="W56" s="20">
        <f>'伤害统计(理想)'!W56</f>
        <v>0</v>
      </c>
      <c r="X56" s="20">
        <f>'伤害统计(理想)'!X56</f>
        <v>0</v>
      </c>
      <c r="Y56" s="20">
        <f>'伤害统计(理想)'!Y56</f>
        <v>0</v>
      </c>
      <c r="Z56" s="20">
        <f>'伤害统计(理想)'!Z56</f>
        <v>0</v>
      </c>
      <c r="AA56" s="20">
        <f>'伤害统计(理想)'!AA56</f>
        <v>0</v>
      </c>
      <c r="AB56" s="20">
        <f>'伤害统计(理想)'!AB56</f>
        <v>0</v>
      </c>
      <c r="AC56" s="29"/>
    </row>
    <row r="57" spans="1:29">
      <c r="A57" s="20" t="str">
        <f>'伤害统计(理想)'!A57</f>
        <v>破(万世二段</v>
      </c>
      <c r="B57" s="20">
        <f>'伤害统计(理想)'!B57</f>
        <v>7</v>
      </c>
      <c r="C57" s="20">
        <f>'伤害统计(理想)'!C57</f>
        <v>0</v>
      </c>
      <c r="D57" s="20">
        <f>'伤害统计(理想)'!D57</f>
        <v>0</v>
      </c>
      <c r="E57" s="20">
        <f>'伤害统计(理想)'!E57</f>
        <v>0</v>
      </c>
      <c r="F57" s="20">
        <f>'伤害统计(理想)'!F57</f>
        <v>0</v>
      </c>
      <c r="G57" s="20">
        <f>'伤害统计(理想)'!G57</f>
        <v>0</v>
      </c>
      <c r="H57" s="20">
        <f>'伤害统计(理想)'!H57</f>
        <v>0</v>
      </c>
      <c r="I57" s="20">
        <f>'伤害统计(理想)'!I57</f>
        <v>0</v>
      </c>
      <c r="J57" s="20">
        <f>'伤害统计(理想)'!J57</f>
        <v>0</v>
      </c>
      <c r="K57" s="20">
        <f>'伤害统计(理想)'!K57</f>
        <v>7</v>
      </c>
      <c r="L57" s="20">
        <f>'伤害统计(理想)'!L57</f>
        <v>0</v>
      </c>
      <c r="M57" s="20">
        <f>'伤害统计(理想)'!M57</f>
        <v>0</v>
      </c>
      <c r="N57" s="20">
        <f>'伤害统计(理想)'!N57</f>
        <v>18</v>
      </c>
      <c r="O57" s="20" t="str">
        <f>'伤害统计(理想)'!O57</f>
        <v>四象轮回·神兵</v>
      </c>
      <c r="P57" s="20">
        <f>'伤害统计(理想)'!P57</f>
        <v>0</v>
      </c>
      <c r="Q57" s="20">
        <f>'伤害统计(理想)'!Q57</f>
        <v>0</v>
      </c>
      <c r="R57" s="20">
        <f>'伤害统计(理想)'!R57</f>
        <v>0</v>
      </c>
      <c r="S57" s="20">
        <f>'伤害统计(理想)'!S57</f>
        <v>0</v>
      </c>
      <c r="T57" s="20">
        <f>'伤害统计(理想)'!T57</f>
        <v>0</v>
      </c>
      <c r="U57" s="20">
        <f>'伤害统计(理想)'!U57</f>
        <v>0</v>
      </c>
      <c r="V57" s="20">
        <f>'伤害统计(理想)'!V57</f>
        <v>0</v>
      </c>
      <c r="W57" s="20">
        <f>'伤害统计(理想)'!W57</f>
        <v>0</v>
      </c>
      <c r="X57" s="20">
        <f>'伤害统计(理想)'!X57</f>
        <v>0</v>
      </c>
      <c r="Y57" s="20">
        <f>'伤害统计(理想)'!Y57</f>
        <v>0</v>
      </c>
      <c r="Z57" s="20">
        <f>'伤害统计(理想)'!Z57</f>
        <v>0</v>
      </c>
      <c r="AA57" s="20">
        <f>'伤害统计(理想)'!AA57</f>
        <v>0</v>
      </c>
      <c r="AB57" s="20">
        <f>'伤害统计(理想)'!AB57</f>
        <v>0</v>
      </c>
      <c r="AC57" s="29"/>
    </row>
    <row r="58" spans="1:29">
      <c r="A58" s="20" t="str">
        <f>'伤害统计(理想)'!A58</f>
        <v>三才化生</v>
      </c>
      <c r="B58" s="20">
        <f>'伤害统计(理想)'!B58</f>
        <v>14</v>
      </c>
      <c r="C58" s="20">
        <f>'伤害统计(理想)'!C58</f>
        <v>0</v>
      </c>
      <c r="D58" s="20">
        <f>'伤害统计(理想)'!D58</f>
        <v>0</v>
      </c>
      <c r="E58" s="20">
        <f>'伤害统计(理想)'!E58</f>
        <v>0</v>
      </c>
      <c r="F58" s="20">
        <f>'伤害统计(理想)'!F58</f>
        <v>0</v>
      </c>
      <c r="G58" s="20">
        <f>'伤害统计(理想)'!G58</f>
        <v>0</v>
      </c>
      <c r="H58" s="20">
        <f>'伤害统计(理想)'!H58</f>
        <v>0</v>
      </c>
      <c r="I58" s="20">
        <f>'伤害统计(理想)'!I58</f>
        <v>0</v>
      </c>
      <c r="J58" s="20">
        <f>'伤害统计(理想)'!J58</f>
        <v>0</v>
      </c>
      <c r="K58" s="20">
        <f>'伤害统计(理想)'!K58</f>
        <v>14</v>
      </c>
      <c r="L58" s="20">
        <f>'伤害统计(理想)'!L58</f>
        <v>14</v>
      </c>
      <c r="M58" s="20">
        <f>'伤害统计(理想)'!M58</f>
        <v>0</v>
      </c>
      <c r="N58" s="20">
        <f>'伤害统计(理想)'!N58</f>
        <v>0</v>
      </c>
      <c r="O58" s="20">
        <f>'伤害统计(理想)'!O58</f>
        <v>0</v>
      </c>
      <c r="P58" s="20">
        <f>'伤害统计(理想)'!P58</f>
        <v>0</v>
      </c>
      <c r="Q58" s="20">
        <f>'伤害统计(理想)'!Q58</f>
        <v>0</v>
      </c>
      <c r="R58" s="20">
        <f>'伤害统计(理想)'!R58</f>
        <v>0</v>
      </c>
      <c r="S58" s="20">
        <f>'伤害统计(理想)'!S58</f>
        <v>0</v>
      </c>
      <c r="T58" s="20">
        <f>'伤害统计(理想)'!T58</f>
        <v>0</v>
      </c>
      <c r="U58" s="20">
        <f>'伤害统计(理想)'!U58</f>
        <v>0</v>
      </c>
      <c r="V58" s="20">
        <f>'伤害统计(理想)'!V58</f>
        <v>0</v>
      </c>
      <c r="W58" s="20">
        <f>'伤害统计(理想)'!W58</f>
        <v>0</v>
      </c>
      <c r="X58" s="20">
        <f>'伤害统计(理想)'!X58</f>
        <v>0</v>
      </c>
      <c r="Y58" s="20">
        <f>'伤害统计(理想)'!Y58</f>
        <v>0</v>
      </c>
      <c r="Z58" s="20">
        <f>'伤害统计(理想)'!Z58</f>
        <v>0</v>
      </c>
      <c r="AA58" s="20">
        <f>'伤害统计(理想)'!AA58</f>
        <v>0</v>
      </c>
      <c r="AB58" s="20">
        <f>'伤害统计(理想)'!AB58</f>
        <v>0</v>
      </c>
      <c r="AC58" s="29"/>
    </row>
    <row r="59" spans="1:28">
      <c r="A59" s="20" t="str">
        <f>'伤害统计(理想)'!A59</f>
        <v>厚亡</v>
      </c>
      <c r="B59" s="20">
        <f>'伤害统计(理想)'!B59</f>
        <v>0</v>
      </c>
      <c r="C59" s="20">
        <f>'伤害统计(理想)'!C59</f>
        <v>0</v>
      </c>
      <c r="D59" s="20">
        <f>'伤害统计(理想)'!D59</f>
        <v>0</v>
      </c>
      <c r="E59" s="20">
        <f>'伤害统计(理想)'!E59</f>
        <v>0</v>
      </c>
      <c r="F59" s="20">
        <f>'伤害统计(理想)'!F59</f>
        <v>0</v>
      </c>
      <c r="G59" s="20">
        <f>'伤害统计(理想)'!G59</f>
        <v>0</v>
      </c>
      <c r="H59" s="20">
        <f>'伤害统计(理想)'!H59</f>
        <v>0</v>
      </c>
      <c r="I59" s="20">
        <f>'伤害统计(理想)'!I59</f>
        <v>0</v>
      </c>
      <c r="J59" s="20">
        <f>'伤害统计(理想)'!J59</f>
        <v>0</v>
      </c>
      <c r="K59" s="20">
        <f>'伤害统计(理想)'!K59</f>
        <v>0</v>
      </c>
      <c r="L59" s="20">
        <f>'伤害统计(理想)'!L59</f>
        <v>0</v>
      </c>
      <c r="M59" s="20">
        <f>'伤害统计(理想)'!M59</f>
        <v>0</v>
      </c>
      <c r="N59" s="20">
        <f>'伤害统计(理想)'!N59</f>
        <v>0</v>
      </c>
      <c r="O59" s="20">
        <f>'伤害统计(理想)'!O59</f>
        <v>0</v>
      </c>
      <c r="P59" s="20">
        <f>'伤害统计(理想)'!P59</f>
        <v>0</v>
      </c>
      <c r="Q59" s="20">
        <f>'伤害统计(理想)'!Q59</f>
        <v>0</v>
      </c>
      <c r="R59" s="20">
        <f>'伤害统计(理想)'!R59</f>
        <v>0</v>
      </c>
      <c r="S59" s="20">
        <f>'伤害统计(理想)'!S59</f>
        <v>0</v>
      </c>
      <c r="T59" s="20">
        <f>'伤害统计(理想)'!T59</f>
        <v>0</v>
      </c>
      <c r="U59" s="20">
        <f>'伤害统计(理想)'!U59</f>
        <v>0</v>
      </c>
      <c r="V59" s="20">
        <f>'伤害统计(理想)'!V59</f>
        <v>0</v>
      </c>
      <c r="W59" s="20">
        <f>'伤害统计(理想)'!W59</f>
        <v>0</v>
      </c>
      <c r="X59" s="20">
        <f>'伤害统计(理想)'!X59</f>
        <v>0</v>
      </c>
      <c r="Y59" s="20">
        <f>'伤害统计(理想)'!Y59</f>
        <v>0</v>
      </c>
      <c r="Z59" s="20">
        <f>'伤害统计(理想)'!Z59</f>
        <v>0</v>
      </c>
      <c r="AA59" s="20">
        <f>'伤害统计(理想)'!AA59</f>
        <v>0</v>
      </c>
      <c r="AB59" s="20">
        <f>'伤害统计(理想)'!AB59</f>
        <v>0</v>
      </c>
    </row>
    <row r="60" spans="1:28">
      <c r="A60" s="20" t="str">
        <f>'伤害统计(理想)'!A60</f>
        <v>刃凌</v>
      </c>
      <c r="B60" s="20">
        <f>'伤害统计(理想)'!B60</f>
        <v>16</v>
      </c>
      <c r="C60" s="20">
        <f>'伤害统计(理想)'!C60</f>
        <v>0</v>
      </c>
      <c r="D60" s="20">
        <f>'伤害统计(理想)'!D60</f>
        <v>0</v>
      </c>
      <c r="E60" s="20">
        <f>'伤害统计(理想)'!E60</f>
        <v>5</v>
      </c>
      <c r="F60" s="20">
        <f>'伤害统计(理想)'!F60</f>
        <v>2</v>
      </c>
      <c r="G60" s="20">
        <f>'伤害统计(理想)'!G60</f>
        <v>0</v>
      </c>
      <c r="H60" s="20">
        <f>'伤害统计(理想)'!H60</f>
        <v>0</v>
      </c>
      <c r="I60" s="20">
        <f>'伤害统计(理想)'!I60</f>
        <v>0</v>
      </c>
      <c r="J60" s="20">
        <f>'伤害统计(理想)'!J60</f>
        <v>0</v>
      </c>
      <c r="K60" s="20">
        <f>'伤害统计(理想)'!K60</f>
        <v>23</v>
      </c>
      <c r="L60" s="20">
        <f>'伤害统计(理想)'!L60</f>
        <v>23</v>
      </c>
      <c r="M60" s="20">
        <f>'伤害统计(理想)'!M60</f>
        <v>0</v>
      </c>
      <c r="N60" s="20">
        <f>'伤害统计(理想)'!N60</f>
        <v>0</v>
      </c>
      <c r="O60" s="20">
        <f>'伤害统计(理想)'!O60</f>
        <v>0</v>
      </c>
      <c r="P60" s="20">
        <f>'伤害统计(理想)'!P60</f>
        <v>0</v>
      </c>
      <c r="Q60" s="20">
        <f>'伤害统计(理想)'!Q60</f>
        <v>0</v>
      </c>
      <c r="R60" s="20">
        <f>'伤害统计(理想)'!R60</f>
        <v>0</v>
      </c>
      <c r="S60" s="20">
        <f>'伤害统计(理想)'!S60</f>
        <v>0</v>
      </c>
      <c r="T60" s="20">
        <f>'伤害统计(理想)'!T60</f>
        <v>0</v>
      </c>
      <c r="U60" s="20">
        <f>'伤害统计(理想)'!U60</f>
        <v>0</v>
      </c>
      <c r="V60" s="20">
        <f>'伤害统计(理想)'!V60</f>
        <v>0</v>
      </c>
      <c r="W60" s="20">
        <f>'伤害统计(理想)'!W60</f>
        <v>0</v>
      </c>
      <c r="X60" s="20">
        <f>'伤害统计(理想)'!X60</f>
        <v>0</v>
      </c>
      <c r="Y60" s="20">
        <f>'伤害统计(理想)'!Y60</f>
        <v>0</v>
      </c>
      <c r="Z60" s="20">
        <f>'伤害统计(理想)'!Z60</f>
        <v>0</v>
      </c>
      <c r="AA60" s="20">
        <f>'伤害统计(理想)'!AA60</f>
        <v>0</v>
      </c>
      <c r="AB60" s="20">
        <f>'伤害统计(理想)'!AB60</f>
        <v>0</v>
      </c>
    </row>
    <row r="61" spans="1:28">
      <c r="A61" s="20" t="str">
        <f>'伤害统计(理想)'!A61</f>
        <v>昆吾·弦刃</v>
      </c>
      <c r="B61" s="20">
        <f>'伤害统计(理想)'!B61</f>
        <v>14</v>
      </c>
      <c r="C61" s="20">
        <f>'伤害统计(理想)'!C61</f>
        <v>0</v>
      </c>
      <c r="D61" s="20">
        <f>'伤害统计(理想)'!D61</f>
        <v>0</v>
      </c>
      <c r="E61" s="20">
        <f>'伤害统计(理想)'!E61</f>
        <v>2</v>
      </c>
      <c r="F61" s="20">
        <f>'伤害统计(理想)'!F61</f>
        <v>0</v>
      </c>
      <c r="G61" s="20">
        <f>'伤害统计(理想)'!G61</f>
        <v>0</v>
      </c>
      <c r="H61" s="20">
        <f>'伤害统计(理想)'!H61</f>
        <v>0</v>
      </c>
      <c r="I61" s="20">
        <f>'伤害统计(理想)'!I61</f>
        <v>0</v>
      </c>
      <c r="J61" s="20">
        <f>'伤害统计(理想)'!J61</f>
        <v>0</v>
      </c>
      <c r="K61" s="20">
        <f>'伤害统计(理想)'!K61</f>
        <v>16</v>
      </c>
      <c r="L61" s="20">
        <f>'伤害统计(理想)'!L61</f>
        <v>16</v>
      </c>
      <c r="M61" s="20">
        <f>'伤害统计(理想)'!M61</f>
        <v>0</v>
      </c>
      <c r="N61" s="20">
        <f>'伤害统计(理想)'!N61</f>
        <v>0</v>
      </c>
      <c r="O61" s="20">
        <f>'伤害统计(理想)'!O61</f>
        <v>0</v>
      </c>
      <c r="P61" s="20">
        <f>'伤害统计(理想)'!P61</f>
        <v>0</v>
      </c>
      <c r="Q61" s="20">
        <f>'伤害统计(理想)'!Q61</f>
        <v>0</v>
      </c>
      <c r="R61" s="20">
        <f>'伤害统计(理想)'!R61</f>
        <v>0</v>
      </c>
      <c r="S61" s="20">
        <f>'伤害统计(理想)'!S61</f>
        <v>0</v>
      </c>
      <c r="T61" s="20">
        <f>'伤害统计(理想)'!T61</f>
        <v>0</v>
      </c>
      <c r="U61" s="20">
        <f>'伤害统计(理想)'!U61</f>
        <v>0</v>
      </c>
      <c r="V61" s="20">
        <f>'伤害统计(理想)'!V61</f>
        <v>0</v>
      </c>
      <c r="W61" s="20">
        <f>'伤害统计(理想)'!W61</f>
        <v>0</v>
      </c>
      <c r="X61" s="20">
        <f>'伤害统计(理想)'!X61</f>
        <v>0</v>
      </c>
      <c r="Y61" s="20">
        <f>'伤害统计(理想)'!Y61</f>
        <v>0</v>
      </c>
      <c r="Z61" s="20">
        <f>'伤害统计(理想)'!Z61</f>
        <v>0</v>
      </c>
      <c r="AA61" s="20">
        <f>'伤害统计(理想)'!AA61</f>
        <v>0</v>
      </c>
      <c r="AB61" s="20">
        <f>'伤害统计(理想)'!AB61</f>
        <v>0</v>
      </c>
    </row>
    <row r="62" spans="1:35">
      <c r="A62" s="20" t="str">
        <f>'伤害统计(理想)'!A62</f>
        <v>腾空·三才</v>
      </c>
      <c r="B62" s="20">
        <f>'伤害统计(理想)'!B62</f>
        <v>0</v>
      </c>
      <c r="C62" s="20">
        <f>'伤害统计(理想)'!C62</f>
        <v>0</v>
      </c>
      <c r="D62" s="20">
        <f>'伤害统计(理想)'!D62</f>
        <v>0</v>
      </c>
      <c r="E62" s="20">
        <f>'伤害统计(理想)'!E62</f>
        <v>0</v>
      </c>
      <c r="F62" s="20">
        <f>'伤害统计(理想)'!F62</f>
        <v>0</v>
      </c>
      <c r="G62" s="20">
        <f>'伤害统计(理想)'!G62</f>
        <v>0</v>
      </c>
      <c r="H62" s="20">
        <f>'伤害统计(理想)'!H62</f>
        <v>0</v>
      </c>
      <c r="I62" s="20">
        <f>'伤害统计(理想)'!I62</f>
        <v>0</v>
      </c>
      <c r="J62" s="20">
        <f>'伤害统计(理想)'!J62</f>
        <v>0</v>
      </c>
      <c r="K62" s="20">
        <f>'伤害统计(理想)'!K62</f>
        <v>0</v>
      </c>
      <c r="L62" s="20">
        <f>'伤害统计(理想)'!L62</f>
        <v>0</v>
      </c>
      <c r="M62" s="20">
        <f>'伤害统计(理想)'!M62</f>
        <v>0</v>
      </c>
      <c r="N62" s="20">
        <f>'伤害统计(理想)'!N62</f>
        <v>0</v>
      </c>
      <c r="O62" s="20">
        <f>'伤害统计(理想)'!O62</f>
        <v>0</v>
      </c>
      <c r="P62" s="20">
        <f>'伤害统计(理想)'!P62</f>
        <v>0</v>
      </c>
      <c r="Q62" s="20">
        <f>'伤害统计(理想)'!Q62</f>
        <v>0</v>
      </c>
      <c r="R62" s="20">
        <f>'伤害统计(理想)'!R62</f>
        <v>0</v>
      </c>
      <c r="S62" s="20">
        <f>'伤害统计(理想)'!S62</f>
        <v>0</v>
      </c>
      <c r="T62" s="20">
        <f>'伤害统计(理想)'!T62</f>
        <v>0</v>
      </c>
      <c r="U62" s="20">
        <f>'伤害统计(理想)'!U62</f>
        <v>0</v>
      </c>
      <c r="V62" s="20">
        <f>'伤害统计(理想)'!V62</f>
        <v>0</v>
      </c>
      <c r="W62" s="20">
        <f>'伤害统计(理想)'!W62</f>
        <v>0</v>
      </c>
      <c r="X62" s="20">
        <f>'伤害统计(理想)'!X62</f>
        <v>0</v>
      </c>
      <c r="Y62" s="20">
        <f>'伤害统计(理想)'!Y62</f>
        <v>0</v>
      </c>
      <c r="Z62" s="20">
        <f>'伤害统计(理想)'!Z62</f>
        <v>0</v>
      </c>
      <c r="AA62" s="20">
        <f>'伤害统计(理想)'!AA62</f>
        <v>0</v>
      </c>
      <c r="AB62" s="20">
        <f>'伤害统计(理想)'!AB62</f>
        <v>0</v>
      </c>
      <c r="AH62" s="33"/>
      <c r="AI62" s="33"/>
    </row>
    <row r="63" spans="1:28">
      <c r="A63" s="20" t="str">
        <f>'伤害统计(理想)'!A63</f>
        <v>腾空·凭虚</v>
      </c>
      <c r="B63" s="20">
        <f>'伤害统计(理想)'!B63</f>
        <v>0</v>
      </c>
      <c r="C63" s="20">
        <f>'伤害统计(理想)'!C63</f>
        <v>0</v>
      </c>
      <c r="D63" s="20">
        <f>'伤害统计(理想)'!D63</f>
        <v>0</v>
      </c>
      <c r="E63" s="20">
        <f>'伤害统计(理想)'!E63</f>
        <v>0</v>
      </c>
      <c r="F63" s="20">
        <f>'伤害统计(理想)'!F63</f>
        <v>0</v>
      </c>
      <c r="G63" s="20">
        <f>'伤害统计(理想)'!G63</f>
        <v>0</v>
      </c>
      <c r="H63" s="20">
        <f>'伤害统计(理想)'!H63</f>
        <v>0</v>
      </c>
      <c r="I63" s="20">
        <f>'伤害统计(理想)'!I63</f>
        <v>0</v>
      </c>
      <c r="J63" s="20">
        <f>'伤害统计(理想)'!J63</f>
        <v>0</v>
      </c>
      <c r="K63" s="20">
        <f>'伤害统计(理想)'!K63</f>
        <v>0</v>
      </c>
      <c r="L63" s="20">
        <f>'伤害统计(理想)'!L63</f>
        <v>0</v>
      </c>
      <c r="M63" s="20">
        <f>'伤害统计(理想)'!M63</f>
        <v>0</v>
      </c>
      <c r="N63" s="20">
        <f>'伤害统计(理想)'!N63</f>
        <v>0</v>
      </c>
      <c r="O63" s="20">
        <f>'伤害统计(理想)'!O63</f>
        <v>0</v>
      </c>
      <c r="P63" s="20">
        <f>'伤害统计(理想)'!P63</f>
        <v>0</v>
      </c>
      <c r="Q63" s="20">
        <f>'伤害统计(理想)'!Q63</f>
        <v>0</v>
      </c>
      <c r="R63" s="20">
        <f>'伤害统计(理想)'!R63</f>
        <v>0</v>
      </c>
      <c r="S63" s="20">
        <f>'伤害统计(理想)'!S63</f>
        <v>0</v>
      </c>
      <c r="T63" s="20">
        <f>'伤害统计(理想)'!T63</f>
        <v>0</v>
      </c>
      <c r="U63" s="20">
        <f>'伤害统计(理想)'!U63</f>
        <v>0</v>
      </c>
      <c r="V63" s="20">
        <f>'伤害统计(理想)'!V63</f>
        <v>0</v>
      </c>
      <c r="W63" s="20">
        <f>'伤害统计(理想)'!W63</f>
        <v>0</v>
      </c>
      <c r="X63" s="20">
        <f>'伤害统计(理想)'!X63</f>
        <v>0</v>
      </c>
      <c r="Y63" s="20">
        <f>'伤害统计(理想)'!Y63</f>
        <v>0</v>
      </c>
      <c r="Z63" s="20">
        <f>'伤害统计(理想)'!Z63</f>
        <v>0</v>
      </c>
      <c r="AA63" s="20">
        <f>'伤害统计(理想)'!AA63</f>
        <v>0</v>
      </c>
      <c r="AB63" s="20">
        <f>'伤害统计(理想)'!AB63</f>
        <v>0</v>
      </c>
    </row>
    <row r="64" spans="1:33">
      <c r="A64" s="20" t="str">
        <f>'伤害统计(理想)'!A64</f>
        <v>腾空·凭虚·定</v>
      </c>
      <c r="B64" s="20">
        <f>'伤害统计(理想)'!B64</f>
        <v>0</v>
      </c>
      <c r="C64" s="20">
        <f>'伤害统计(理想)'!C64</f>
        <v>0</v>
      </c>
      <c r="D64" s="20">
        <f>'伤害统计(理想)'!D64</f>
        <v>0</v>
      </c>
      <c r="E64" s="20">
        <f>'伤害统计(理想)'!E64</f>
        <v>0</v>
      </c>
      <c r="F64" s="20">
        <f>'伤害统计(理想)'!F64</f>
        <v>0</v>
      </c>
      <c r="G64" s="20">
        <f>'伤害统计(理想)'!G64</f>
        <v>0</v>
      </c>
      <c r="H64" s="20">
        <f>'伤害统计(理想)'!H64</f>
        <v>0</v>
      </c>
      <c r="I64" s="20">
        <f>'伤害统计(理想)'!I64</f>
        <v>0</v>
      </c>
      <c r="J64" s="20">
        <f>'伤害统计(理想)'!J64</f>
        <v>0</v>
      </c>
      <c r="K64" s="20">
        <f>'伤害统计(理想)'!K64</f>
        <v>0</v>
      </c>
      <c r="L64" s="20">
        <f>'伤害统计(理想)'!L64</f>
        <v>0</v>
      </c>
      <c r="M64" s="20">
        <f>'伤害统计(理想)'!M64</f>
        <v>0</v>
      </c>
      <c r="N64" s="20">
        <f>'伤害统计(理想)'!N64</f>
        <v>0</v>
      </c>
      <c r="O64" s="20">
        <f>'伤害统计(理想)'!O64</f>
        <v>0</v>
      </c>
      <c r="P64" s="20">
        <f>'伤害统计(理想)'!P64</f>
        <v>0</v>
      </c>
      <c r="Q64" s="20">
        <f>'伤害统计(理想)'!Q64</f>
        <v>0</v>
      </c>
      <c r="R64" s="20">
        <f>'伤害统计(理想)'!R64</f>
        <v>0</v>
      </c>
      <c r="S64" s="20">
        <f>'伤害统计(理想)'!S64</f>
        <v>0</v>
      </c>
      <c r="T64" s="20">
        <f>'伤害统计(理想)'!T64</f>
        <v>0</v>
      </c>
      <c r="U64" s="20">
        <f>'伤害统计(理想)'!U64</f>
        <v>0</v>
      </c>
      <c r="V64" s="20">
        <f>'伤害统计(理想)'!V64</f>
        <v>0</v>
      </c>
      <c r="W64" s="20">
        <f>'伤害统计(理想)'!W64</f>
        <v>0</v>
      </c>
      <c r="X64" s="20">
        <f>'伤害统计(理想)'!X64</f>
        <v>0</v>
      </c>
      <c r="Y64" s="20">
        <f>'伤害统计(理想)'!Y64</f>
        <v>0</v>
      </c>
      <c r="Z64" s="20">
        <f>'伤害统计(理想)'!Z64</f>
        <v>0</v>
      </c>
      <c r="AA64" s="20">
        <f>'伤害统计(理想)'!AA64</f>
        <v>0</v>
      </c>
      <c r="AB64" s="20">
        <f>'伤害统计(理想)'!AB64</f>
        <v>0</v>
      </c>
      <c r="AG64" s="33"/>
    </row>
    <row r="65" spans="1:28">
      <c r="A65" s="20" t="str">
        <f>'伤害统计(理想)'!A65</f>
        <v>气竭(DOT)</v>
      </c>
      <c r="B65" s="20">
        <f>'伤害统计(理想)'!B65</f>
        <v>0</v>
      </c>
      <c r="C65" s="20">
        <f>'伤害统计(理想)'!C65</f>
        <v>0</v>
      </c>
      <c r="D65" s="20">
        <f>'伤害统计(理想)'!D65</f>
        <v>0</v>
      </c>
      <c r="E65" s="20">
        <f>'伤害统计(理想)'!E65</f>
        <v>0</v>
      </c>
      <c r="F65" s="20">
        <f>'伤害统计(理想)'!F65</f>
        <v>0</v>
      </c>
      <c r="G65" s="20">
        <f>'伤害统计(理想)'!G65</f>
        <v>0</v>
      </c>
      <c r="H65" s="20">
        <f>'伤害统计(理想)'!H65</f>
        <v>0</v>
      </c>
      <c r="I65" s="20">
        <f>'伤害统计(理想)'!I65</f>
        <v>0</v>
      </c>
      <c r="J65" s="20">
        <f>'伤害统计(理想)'!J65</f>
        <v>0</v>
      </c>
      <c r="K65" s="20">
        <f>'伤害统计(理想)'!K65</f>
        <v>0</v>
      </c>
      <c r="L65" s="20">
        <f>'伤害统计(理想)'!L65</f>
        <v>0</v>
      </c>
      <c r="M65" s="20">
        <f>'伤害统计(理想)'!M65</f>
        <v>0</v>
      </c>
      <c r="N65" s="20">
        <f>'伤害统计(理想)'!N65</f>
        <v>0</v>
      </c>
      <c r="O65" s="20">
        <f>'伤害统计(理想)'!O65</f>
        <v>0</v>
      </c>
      <c r="P65" s="20">
        <f>'伤害统计(理想)'!P65</f>
        <v>0</v>
      </c>
      <c r="Q65" s="20">
        <f>'伤害统计(理想)'!Q65</f>
        <v>0</v>
      </c>
      <c r="R65" s="20">
        <f>'伤害统计(理想)'!R65</f>
        <v>0</v>
      </c>
      <c r="S65" s="20">
        <f>'伤害统计(理想)'!S65</f>
        <v>0</v>
      </c>
      <c r="T65" s="20">
        <f>'伤害统计(理想)'!T65</f>
        <v>0</v>
      </c>
      <c r="U65" s="20">
        <f>'伤害统计(理想)'!U65</f>
        <v>0</v>
      </c>
      <c r="V65" s="20">
        <f>'伤害统计(理想)'!V65</f>
        <v>0</v>
      </c>
      <c r="W65" s="20">
        <f>'伤害统计(理想)'!W65</f>
        <v>0</v>
      </c>
      <c r="X65" s="20">
        <f>'伤害统计(理想)'!X65</f>
        <v>0</v>
      </c>
      <c r="Y65" s="20">
        <f>'伤害统计(理想)'!Y65</f>
        <v>0</v>
      </c>
      <c r="Z65" s="20">
        <f>'伤害统计(理想)'!Z65</f>
        <v>0</v>
      </c>
      <c r="AA65" s="20">
        <f>'伤害统计(理想)'!AA65</f>
        <v>0</v>
      </c>
      <c r="AB65" s="20">
        <f>'伤害统计(理想)'!AB65</f>
        <v>0</v>
      </c>
    </row>
    <row r="66" spans="1:28">
      <c r="A66" s="20" t="str">
        <f>'伤害统计(理想)'!A66</f>
        <v>星辰</v>
      </c>
      <c r="B66" s="20">
        <f>'伤害统计(理想)'!B66</f>
        <v>0</v>
      </c>
      <c r="C66" s="20">
        <f>'伤害统计(理想)'!C66</f>
        <v>0</v>
      </c>
      <c r="D66" s="20">
        <f>'伤害统计(理想)'!D66</f>
        <v>0</v>
      </c>
      <c r="E66" s="20">
        <f>'伤害统计(理想)'!E66</f>
        <v>0</v>
      </c>
      <c r="F66" s="20">
        <f>'伤害统计(理想)'!F66</f>
        <v>0</v>
      </c>
      <c r="G66" s="20">
        <f>'伤害统计(理想)'!G66</f>
        <v>0</v>
      </c>
      <c r="H66" s="20">
        <f>'伤害统计(理想)'!H66</f>
        <v>0</v>
      </c>
      <c r="I66" s="20">
        <f>'伤害统计(理想)'!I66</f>
        <v>0</v>
      </c>
      <c r="J66" s="20">
        <f>'伤害统计(理想)'!J66</f>
        <v>0</v>
      </c>
      <c r="K66" s="20">
        <f>'伤害统计(理想)'!K66</f>
        <v>0</v>
      </c>
      <c r="L66" s="20">
        <f>'伤害统计(理想)'!L66</f>
        <v>0</v>
      </c>
      <c r="M66" s="20">
        <f>'伤害统计(理想)'!M66</f>
        <v>0</v>
      </c>
      <c r="N66" s="20">
        <f>'伤害统计(理想)'!N66</f>
        <v>0</v>
      </c>
      <c r="O66" s="20">
        <f>'伤害统计(理想)'!O66</f>
        <v>0</v>
      </c>
      <c r="P66" s="20">
        <f>'伤害统计(理想)'!P66</f>
        <v>0</v>
      </c>
      <c r="Q66" s="20">
        <f>'伤害统计(理想)'!Q66</f>
        <v>0</v>
      </c>
      <c r="R66" s="20">
        <f>'伤害统计(理想)'!R66</f>
        <v>0</v>
      </c>
      <c r="S66" s="20">
        <f>'伤害统计(理想)'!S66</f>
        <v>0</v>
      </c>
      <c r="T66" s="20">
        <f>'伤害统计(理想)'!T66</f>
        <v>0</v>
      </c>
      <c r="U66" s="20">
        <f>'伤害统计(理想)'!U66</f>
        <v>0</v>
      </c>
      <c r="V66" s="20">
        <f>'伤害统计(理想)'!V66</f>
        <v>0</v>
      </c>
      <c r="W66" s="20">
        <f>'伤害统计(理想)'!W66</f>
        <v>0</v>
      </c>
      <c r="X66" s="20">
        <f>'伤害统计(理想)'!X66</f>
        <v>0</v>
      </c>
      <c r="Y66" s="20">
        <f>'伤害统计(理想)'!Y66</f>
        <v>0</v>
      </c>
      <c r="Z66" s="20">
        <f>'伤害统计(理想)'!Z66</f>
        <v>0</v>
      </c>
      <c r="AA66" s="20">
        <f>'伤害统计(理想)'!AA66</f>
        <v>0</v>
      </c>
      <c r="AB66" s="20">
        <f>'伤害统计(理想)'!AB66</f>
        <v>0</v>
      </c>
    </row>
    <row r="67" spans="1:9">
      <c r="A67" s="20" t="str">
        <f>'伤害统计(理想)'!A67</f>
        <v>四象轮回·神兵</v>
      </c>
      <c r="B67" s="20">
        <f>'伤害统计(理想)'!B67</f>
        <v>0</v>
      </c>
      <c r="C67" s="20">
        <f>'伤害统计(理想)'!C67</f>
        <v>0</v>
      </c>
      <c r="D67" s="20">
        <f>'伤害统计(理想)'!D67</f>
        <v>0</v>
      </c>
      <c r="E67" s="20">
        <f>'伤害统计(理想)'!E67</f>
        <v>0</v>
      </c>
      <c r="F67" s="20">
        <f>'伤害统计(理想)'!F67</f>
        <v>0</v>
      </c>
      <c r="G67" s="20">
        <f>'伤害统计(理想)'!G67</f>
        <v>0</v>
      </c>
      <c r="H67" s="20">
        <f>'伤害统计(理想)'!H67</f>
        <v>0</v>
      </c>
      <c r="I67" s="20">
        <f>'伤害统计(理想)'!I67</f>
        <v>0</v>
      </c>
    </row>
    <row r="69" spans="33:33">
      <c r="AG69" s="33"/>
    </row>
    <row r="70" spans="2:12">
      <c r="B70" s="20" t="s">
        <v>365</v>
      </c>
      <c r="C70" s="20" t="s">
        <v>987</v>
      </c>
      <c r="D70" s="20" t="s">
        <v>988</v>
      </c>
      <c r="E70" s="20" t="s">
        <v>989</v>
      </c>
      <c r="F70" s="20" t="s">
        <v>990</v>
      </c>
      <c r="G70" s="20" t="s">
        <v>991</v>
      </c>
      <c r="H70" s="20" t="s">
        <v>992</v>
      </c>
      <c r="I70" s="20" t="s">
        <v>993</v>
      </c>
      <c r="L70" s="20" t="s">
        <v>996</v>
      </c>
    </row>
    <row r="71" spans="1:12">
      <c r="A71" s="20" t="s">
        <v>959</v>
      </c>
      <c r="B71" s="20">
        <f t="shared" ref="B71:B100" si="13">(AC2*(1-Q2)+AF2*Q2)*B38</f>
        <v>4561246.4786</v>
      </c>
      <c r="C71" s="20">
        <f t="shared" ref="C71:C100" si="14">(AI2*(1-S2)+AJ2*S2)*C38</f>
        <v>0</v>
      </c>
      <c r="D71" s="20">
        <f t="shared" ref="D71:D100" si="15">(AD2*(1-S2)+AG2*S2)*D38</f>
        <v>0</v>
      </c>
      <c r="E71" s="20">
        <f t="shared" ref="E71:E100" si="16">(AD2*(1-S2)+AM2*S2)*E38</f>
        <v>0</v>
      </c>
      <c r="F71" s="20">
        <f t="shared" ref="F71:F100" si="17">(AE2*(1-Q2)+AH2*Q2)*F38</f>
        <v>0</v>
      </c>
      <c r="G71" s="20">
        <f t="shared" ref="G71:G100" si="18">(AK2*(1-S2)+AL2*S2)*G38</f>
        <v>0</v>
      </c>
      <c r="H71" s="20">
        <f t="shared" ref="H71:H100" si="19">(AE2*(1-S2)+AH2*S2)*H38</f>
        <v>0</v>
      </c>
      <c r="I71" s="20">
        <f t="shared" ref="I71:I100" si="20">(AE2*(1-S2)+AN2*S2)*I38</f>
        <v>0</v>
      </c>
      <c r="K71" s="20">
        <f t="shared" ref="K71:K99" si="21">INT(SUM(B71:I71))</f>
        <v>4561246</v>
      </c>
      <c r="L71" s="20">
        <f>K71</f>
        <v>4561246</v>
      </c>
    </row>
    <row r="72" spans="1:12">
      <c r="A72" s="20" t="s">
        <v>960</v>
      </c>
      <c r="B72" s="20">
        <f t="shared" si="13"/>
        <v>7559310.7656</v>
      </c>
      <c r="C72" s="20">
        <f t="shared" si="14"/>
        <v>0</v>
      </c>
      <c r="D72" s="20">
        <f t="shared" si="15"/>
        <v>676383.455</v>
      </c>
      <c r="E72" s="20">
        <f t="shared" si="16"/>
        <v>1451399.62</v>
      </c>
      <c r="F72" s="20">
        <f t="shared" si="17"/>
        <v>273458.7692</v>
      </c>
      <c r="G72" s="20">
        <f t="shared" si="18"/>
        <v>0</v>
      </c>
      <c r="H72" s="20">
        <f t="shared" si="19"/>
        <v>335391.333</v>
      </c>
      <c r="I72" s="20">
        <f t="shared" si="20"/>
        <v>627139.216</v>
      </c>
      <c r="K72" s="20">
        <f t="shared" si="21"/>
        <v>10923083</v>
      </c>
      <c r="L72" s="20">
        <f>SUM(K72:K76)</f>
        <v>68045593</v>
      </c>
    </row>
    <row r="73" spans="1:11">
      <c r="A73" s="20" t="s">
        <v>961</v>
      </c>
      <c r="B73" s="20">
        <f t="shared" si="13"/>
        <v>8488774.7406</v>
      </c>
      <c r="C73" s="20">
        <f t="shared" si="14"/>
        <v>0</v>
      </c>
      <c r="D73" s="20">
        <f t="shared" si="15"/>
        <v>759548.97</v>
      </c>
      <c r="E73" s="20">
        <f t="shared" si="16"/>
        <v>1629857.135</v>
      </c>
      <c r="F73" s="20">
        <f t="shared" si="17"/>
        <v>307082.0516</v>
      </c>
      <c r="G73" s="20">
        <f t="shared" si="18"/>
        <v>0</v>
      </c>
      <c r="H73" s="20">
        <f t="shared" si="19"/>
        <v>376629.559</v>
      </c>
      <c r="I73" s="20">
        <f t="shared" si="20"/>
        <v>704250.572</v>
      </c>
      <c r="K73" s="20">
        <f t="shared" si="21"/>
        <v>12266143</v>
      </c>
    </row>
    <row r="74" spans="1:11">
      <c r="A74" s="20" t="s">
        <v>962</v>
      </c>
      <c r="B74" s="20">
        <f t="shared" si="13"/>
        <v>9418189.275</v>
      </c>
      <c r="C74" s="20">
        <f t="shared" si="14"/>
        <v>0</v>
      </c>
      <c r="D74" s="20">
        <f t="shared" si="15"/>
        <v>842705.7675</v>
      </c>
      <c r="E74" s="20">
        <f t="shared" si="16"/>
        <v>1808297.215</v>
      </c>
      <c r="F74" s="20">
        <f t="shared" si="17"/>
        <v>340702.3352</v>
      </c>
      <c r="G74" s="20">
        <f t="shared" si="18"/>
        <v>0</v>
      </c>
      <c r="H74" s="20">
        <f t="shared" si="19"/>
        <v>417864.298</v>
      </c>
      <c r="I74" s="20">
        <f t="shared" si="20"/>
        <v>781351.98</v>
      </c>
      <c r="K74" s="20">
        <f t="shared" si="21"/>
        <v>13609110</v>
      </c>
    </row>
    <row r="75" spans="1:11">
      <c r="A75" s="20" t="s">
        <v>963</v>
      </c>
      <c r="B75" s="20">
        <f t="shared" si="13"/>
        <v>10347603.8094</v>
      </c>
      <c r="C75" s="20">
        <f t="shared" si="14"/>
        <v>0</v>
      </c>
      <c r="D75" s="20">
        <f t="shared" si="15"/>
        <v>925871.2825</v>
      </c>
      <c r="E75" s="20">
        <f t="shared" si="16"/>
        <v>1986754.73</v>
      </c>
      <c r="F75" s="20">
        <f t="shared" si="17"/>
        <v>374325.6176</v>
      </c>
      <c r="G75" s="20">
        <f t="shared" si="18"/>
        <v>0</v>
      </c>
      <c r="H75" s="20">
        <f t="shared" si="19"/>
        <v>459102.524</v>
      </c>
      <c r="I75" s="20">
        <f t="shared" si="20"/>
        <v>858463.336</v>
      </c>
      <c r="K75" s="20">
        <f t="shared" si="21"/>
        <v>14952121</v>
      </c>
    </row>
    <row r="76" spans="1:11">
      <c r="A76" s="20" t="s">
        <v>964</v>
      </c>
      <c r="B76" s="20">
        <f t="shared" si="13"/>
        <v>11277018.3438</v>
      </c>
      <c r="C76" s="20">
        <f t="shared" si="14"/>
        <v>0</v>
      </c>
      <c r="D76" s="20">
        <f t="shared" si="15"/>
        <v>1009036.7975</v>
      </c>
      <c r="E76" s="20">
        <f t="shared" si="16"/>
        <v>2165219.68</v>
      </c>
      <c r="F76" s="20">
        <f t="shared" si="17"/>
        <v>407948.9</v>
      </c>
      <c r="G76" s="20">
        <f t="shared" si="18"/>
        <v>0</v>
      </c>
      <c r="H76" s="20">
        <f t="shared" si="19"/>
        <v>500340.75</v>
      </c>
      <c r="I76" s="20">
        <f t="shared" si="20"/>
        <v>935571.718</v>
      </c>
      <c r="K76" s="20">
        <f t="shared" si="21"/>
        <v>16295136</v>
      </c>
    </row>
    <row r="77" spans="1:12">
      <c r="A77" s="20" t="s">
        <v>965</v>
      </c>
      <c r="B77" s="20">
        <f t="shared" si="13"/>
        <v>2032107.7056</v>
      </c>
      <c r="C77" s="20">
        <f t="shared" si="14"/>
        <v>0</v>
      </c>
      <c r="D77" s="20">
        <f t="shared" si="15"/>
        <v>0</v>
      </c>
      <c r="E77" s="20">
        <f t="shared" si="16"/>
        <v>13689854.25</v>
      </c>
      <c r="F77" s="20">
        <f t="shared" si="17"/>
        <v>0</v>
      </c>
      <c r="G77" s="20">
        <f t="shared" si="18"/>
        <v>0</v>
      </c>
      <c r="H77" s="20">
        <f t="shared" si="19"/>
        <v>0</v>
      </c>
      <c r="I77" s="20">
        <f t="shared" si="20"/>
        <v>5915238.62</v>
      </c>
      <c r="K77" s="20">
        <f t="shared" si="21"/>
        <v>21637200</v>
      </c>
      <c r="L77" s="20">
        <f t="shared" ref="L77:L79" si="22">K77</f>
        <v>21637200</v>
      </c>
    </row>
    <row r="78" spans="1:12">
      <c r="A78" s="35" t="s">
        <v>966</v>
      </c>
      <c r="B78" s="20">
        <f t="shared" si="13"/>
        <v>371276.8192</v>
      </c>
      <c r="C78" s="20">
        <f t="shared" si="14"/>
        <v>0</v>
      </c>
      <c r="D78" s="20">
        <f t="shared" si="15"/>
        <v>0</v>
      </c>
      <c r="E78" s="20">
        <f t="shared" si="16"/>
        <v>0</v>
      </c>
      <c r="F78" s="20">
        <f t="shared" si="17"/>
        <v>0</v>
      </c>
      <c r="G78" s="20">
        <f t="shared" si="18"/>
        <v>0</v>
      </c>
      <c r="H78" s="20">
        <f t="shared" si="19"/>
        <v>0</v>
      </c>
      <c r="I78" s="20">
        <f t="shared" si="20"/>
        <v>0</v>
      </c>
      <c r="K78" s="20">
        <f t="shared" si="21"/>
        <v>371276</v>
      </c>
      <c r="L78" s="20">
        <f t="shared" si="22"/>
        <v>371276</v>
      </c>
    </row>
    <row r="79" spans="1:12">
      <c r="A79" s="20" t="s">
        <v>967</v>
      </c>
      <c r="B79" s="20">
        <f t="shared" si="13"/>
        <v>13193681.1552</v>
      </c>
      <c r="C79" s="20">
        <f t="shared" si="14"/>
        <v>0</v>
      </c>
      <c r="D79" s="20">
        <f t="shared" si="15"/>
        <v>2769799.4425</v>
      </c>
      <c r="E79" s="20">
        <f t="shared" si="16"/>
        <v>5967509.69</v>
      </c>
      <c r="F79" s="20">
        <f t="shared" si="17"/>
        <v>1084851.1492</v>
      </c>
      <c r="G79" s="20">
        <f t="shared" si="18"/>
        <v>0</v>
      </c>
      <c r="H79" s="20">
        <f t="shared" si="19"/>
        <v>1291486.193</v>
      </c>
      <c r="I79" s="20">
        <f t="shared" si="20"/>
        <v>2578521.814</v>
      </c>
      <c r="K79" s="20">
        <f t="shared" si="21"/>
        <v>26885849</v>
      </c>
      <c r="L79" s="20">
        <f t="shared" si="22"/>
        <v>26885849</v>
      </c>
    </row>
    <row r="80" spans="1:12">
      <c r="A80" s="20" t="s">
        <v>1001</v>
      </c>
      <c r="B80" s="20">
        <f t="shared" si="13"/>
        <v>11141821.1016</v>
      </c>
      <c r="C80" s="20">
        <f t="shared" si="14"/>
        <v>0</v>
      </c>
      <c r="D80" s="20">
        <f t="shared" si="15"/>
        <v>2330471.3925</v>
      </c>
      <c r="E80" s="20">
        <f t="shared" si="16"/>
        <v>7514576.715</v>
      </c>
      <c r="F80" s="20">
        <f t="shared" si="17"/>
        <v>899801.1952</v>
      </c>
      <c r="G80" s="20">
        <f t="shared" si="18"/>
        <v>0</v>
      </c>
      <c r="H80" s="20">
        <f t="shared" si="19"/>
        <v>1084147.468</v>
      </c>
      <c r="I80" s="20">
        <f t="shared" si="20"/>
        <v>3247003.347</v>
      </c>
      <c r="K80" s="20">
        <f t="shared" si="21"/>
        <v>26217821</v>
      </c>
      <c r="L80" s="20">
        <f>SUM(K80:K82)</f>
        <v>28856725</v>
      </c>
    </row>
    <row r="81" spans="1:11">
      <c r="A81" s="20" t="s">
        <v>969</v>
      </c>
      <c r="B81" s="20">
        <f t="shared" si="13"/>
        <v>2638904.3568</v>
      </c>
      <c r="C81" s="20">
        <f t="shared" si="14"/>
        <v>0</v>
      </c>
      <c r="D81" s="20">
        <f t="shared" si="15"/>
        <v>0</v>
      </c>
      <c r="E81" s="20">
        <f t="shared" si="16"/>
        <v>0</v>
      </c>
      <c r="F81" s="20">
        <f t="shared" si="17"/>
        <v>0</v>
      </c>
      <c r="G81" s="20">
        <f t="shared" si="18"/>
        <v>0</v>
      </c>
      <c r="H81" s="20">
        <f t="shared" si="19"/>
        <v>0</v>
      </c>
      <c r="I81" s="20">
        <f t="shared" si="20"/>
        <v>0</v>
      </c>
      <c r="K81" s="20">
        <f t="shared" si="21"/>
        <v>2638904</v>
      </c>
    </row>
    <row r="82" spans="1:11">
      <c r="A82" s="20" t="s">
        <v>970</v>
      </c>
      <c r="B82" s="20">
        <f t="shared" si="13"/>
        <v>0</v>
      </c>
      <c r="C82" s="20">
        <f t="shared" si="14"/>
        <v>0</v>
      </c>
      <c r="D82" s="20">
        <f t="shared" si="15"/>
        <v>0</v>
      </c>
      <c r="E82" s="20">
        <f t="shared" si="16"/>
        <v>0</v>
      </c>
      <c r="F82" s="20">
        <f t="shared" si="17"/>
        <v>0</v>
      </c>
      <c r="G82" s="20">
        <f t="shared" si="18"/>
        <v>0</v>
      </c>
      <c r="H82" s="20">
        <f t="shared" si="19"/>
        <v>0</v>
      </c>
      <c r="I82" s="20">
        <f t="shared" si="20"/>
        <v>0</v>
      </c>
      <c r="K82" s="20">
        <f t="shared" si="21"/>
        <v>0</v>
      </c>
    </row>
    <row r="83" spans="1:12">
      <c r="A83" s="35" t="s">
        <v>971</v>
      </c>
      <c r="B83" s="20">
        <f t="shared" si="13"/>
        <v>1080356.1314</v>
      </c>
      <c r="C83" s="20">
        <f t="shared" si="14"/>
        <v>0</v>
      </c>
      <c r="D83" s="20">
        <f t="shared" si="15"/>
        <v>0</v>
      </c>
      <c r="E83" s="20">
        <f t="shared" si="16"/>
        <v>0</v>
      </c>
      <c r="F83" s="20">
        <f t="shared" si="17"/>
        <v>0</v>
      </c>
      <c r="G83" s="20">
        <f t="shared" si="18"/>
        <v>0</v>
      </c>
      <c r="H83" s="20">
        <f t="shared" si="19"/>
        <v>0</v>
      </c>
      <c r="I83" s="20">
        <f t="shared" si="20"/>
        <v>0</v>
      </c>
      <c r="K83" s="20">
        <f t="shared" si="21"/>
        <v>1080356</v>
      </c>
      <c r="L83" s="20">
        <f>SUM(K83:K87)</f>
        <v>13306885</v>
      </c>
    </row>
    <row r="84" spans="1:11">
      <c r="A84" s="35" t="s">
        <v>972</v>
      </c>
      <c r="B84" s="20">
        <f t="shared" si="13"/>
        <v>673143.024</v>
      </c>
      <c r="C84" s="20">
        <f t="shared" si="14"/>
        <v>0</v>
      </c>
      <c r="D84" s="20">
        <f t="shared" si="15"/>
        <v>0</v>
      </c>
      <c r="E84" s="20">
        <f t="shared" si="16"/>
        <v>1066712.5275</v>
      </c>
      <c r="F84" s="20">
        <f t="shared" si="17"/>
        <v>0</v>
      </c>
      <c r="G84" s="20">
        <f t="shared" si="18"/>
        <v>0</v>
      </c>
      <c r="H84" s="20">
        <f t="shared" si="19"/>
        <v>0</v>
      </c>
      <c r="I84" s="20">
        <f t="shared" si="20"/>
        <v>460914.813</v>
      </c>
      <c r="K84" s="20">
        <f t="shared" si="21"/>
        <v>2200770</v>
      </c>
    </row>
    <row r="85" spans="1:11">
      <c r="A85" s="35" t="s">
        <v>973</v>
      </c>
      <c r="B85" s="20">
        <f t="shared" si="13"/>
        <v>847669.1376</v>
      </c>
      <c r="C85" s="20">
        <f t="shared" si="14"/>
        <v>0</v>
      </c>
      <c r="D85" s="20">
        <f t="shared" si="15"/>
        <v>0</v>
      </c>
      <c r="E85" s="20">
        <f t="shared" si="16"/>
        <v>1343270.025</v>
      </c>
      <c r="F85" s="20">
        <f t="shared" si="17"/>
        <v>0</v>
      </c>
      <c r="G85" s="20">
        <f t="shared" si="18"/>
        <v>0</v>
      </c>
      <c r="H85" s="20">
        <f t="shared" si="19"/>
        <v>0</v>
      </c>
      <c r="I85" s="20">
        <f t="shared" si="20"/>
        <v>580414.524</v>
      </c>
      <c r="K85" s="20">
        <f t="shared" si="21"/>
        <v>2771353</v>
      </c>
    </row>
    <row r="86" spans="1:11">
      <c r="A86" s="35" t="s">
        <v>974</v>
      </c>
      <c r="B86" s="20">
        <f t="shared" si="13"/>
        <v>1022186.2548</v>
      </c>
      <c r="C86" s="20">
        <f t="shared" si="14"/>
        <v>0</v>
      </c>
      <c r="D86" s="20">
        <f t="shared" si="15"/>
        <v>0</v>
      </c>
      <c r="E86" s="20">
        <f t="shared" si="16"/>
        <v>1619815.0875</v>
      </c>
      <c r="F86" s="20">
        <f t="shared" si="17"/>
        <v>0</v>
      </c>
      <c r="G86" s="20">
        <f t="shared" si="18"/>
        <v>0</v>
      </c>
      <c r="H86" s="20">
        <f t="shared" si="19"/>
        <v>0</v>
      </c>
      <c r="I86" s="20">
        <f t="shared" si="20"/>
        <v>699912.748</v>
      </c>
      <c r="K86" s="20">
        <f t="shared" si="21"/>
        <v>3341914</v>
      </c>
    </row>
    <row r="87" spans="1:11">
      <c r="A87" s="35" t="s">
        <v>975</v>
      </c>
      <c r="B87" s="20">
        <f t="shared" si="13"/>
        <v>1196712.3684</v>
      </c>
      <c r="C87" s="20">
        <f t="shared" si="14"/>
        <v>0</v>
      </c>
      <c r="D87" s="20">
        <f t="shared" si="15"/>
        <v>0</v>
      </c>
      <c r="E87" s="20">
        <f t="shared" si="16"/>
        <v>1896372.585</v>
      </c>
      <c r="F87" s="20">
        <f t="shared" si="17"/>
        <v>0</v>
      </c>
      <c r="G87" s="20">
        <f t="shared" si="18"/>
        <v>0</v>
      </c>
      <c r="H87" s="20">
        <f t="shared" si="19"/>
        <v>0</v>
      </c>
      <c r="I87" s="20">
        <f t="shared" si="20"/>
        <v>819407.485</v>
      </c>
      <c r="K87" s="20">
        <f t="shared" si="21"/>
        <v>3912492</v>
      </c>
    </row>
    <row r="88" spans="1:12">
      <c r="A88" s="20" t="s">
        <v>976</v>
      </c>
      <c r="B88" s="20">
        <f t="shared" si="13"/>
        <v>27285313.6548</v>
      </c>
      <c r="C88" s="20">
        <f t="shared" si="14"/>
        <v>0</v>
      </c>
      <c r="D88" s="20">
        <f t="shared" si="15"/>
        <v>3258513.1525</v>
      </c>
      <c r="E88" s="20">
        <f t="shared" si="16"/>
        <v>10488284.58</v>
      </c>
      <c r="F88" s="20">
        <f t="shared" si="17"/>
        <v>1248448.462</v>
      </c>
      <c r="G88" s="20">
        <f t="shared" si="18"/>
        <v>0</v>
      </c>
      <c r="H88" s="20">
        <f t="shared" si="19"/>
        <v>1513109.005</v>
      </c>
      <c r="I88" s="20">
        <f t="shared" si="20"/>
        <v>4531912.833</v>
      </c>
      <c r="K88" s="20">
        <f t="shared" si="21"/>
        <v>48325581</v>
      </c>
      <c r="L88" s="20">
        <f>SUM(K88:K90)</f>
        <v>50882445</v>
      </c>
    </row>
    <row r="89" spans="1:11">
      <c r="A89" s="20" t="s">
        <v>977</v>
      </c>
      <c r="B89" s="20">
        <f t="shared" si="13"/>
        <v>0</v>
      </c>
      <c r="C89" s="20">
        <f t="shared" si="14"/>
        <v>0</v>
      </c>
      <c r="D89" s="20">
        <f t="shared" si="15"/>
        <v>0</v>
      </c>
      <c r="E89" s="20">
        <f t="shared" si="16"/>
        <v>0</v>
      </c>
      <c r="F89" s="20">
        <f t="shared" si="17"/>
        <v>0</v>
      </c>
      <c r="G89" s="20">
        <f t="shared" si="18"/>
        <v>0</v>
      </c>
      <c r="H89" s="20">
        <f t="shared" si="19"/>
        <v>0</v>
      </c>
      <c r="I89" s="20">
        <f t="shared" si="20"/>
        <v>0</v>
      </c>
      <c r="K89" s="20">
        <f t="shared" si="21"/>
        <v>0</v>
      </c>
    </row>
    <row r="90" spans="1:11">
      <c r="A90" s="20" t="s">
        <v>978</v>
      </c>
      <c r="B90" s="20">
        <f t="shared" si="13"/>
        <v>2556864.5424</v>
      </c>
      <c r="C90" s="20">
        <f t="shared" si="14"/>
        <v>0</v>
      </c>
      <c r="D90" s="20">
        <f t="shared" si="15"/>
        <v>0</v>
      </c>
      <c r="E90" s="20">
        <f t="shared" si="16"/>
        <v>0</v>
      </c>
      <c r="F90" s="20">
        <f t="shared" si="17"/>
        <v>0</v>
      </c>
      <c r="G90" s="20">
        <f t="shared" si="18"/>
        <v>0</v>
      </c>
      <c r="H90" s="20">
        <f t="shared" si="19"/>
        <v>0</v>
      </c>
      <c r="I90" s="20">
        <f t="shared" si="20"/>
        <v>0</v>
      </c>
      <c r="K90" s="20">
        <f t="shared" si="21"/>
        <v>2556864</v>
      </c>
    </row>
    <row r="91" spans="1:12">
      <c r="A91" s="35" t="s">
        <v>979</v>
      </c>
      <c r="B91" s="20">
        <f t="shared" si="13"/>
        <v>111112.96</v>
      </c>
      <c r="C91" s="20">
        <f t="shared" si="14"/>
        <v>0</v>
      </c>
      <c r="D91" s="20">
        <f t="shared" si="15"/>
        <v>0</v>
      </c>
      <c r="E91" s="20">
        <f t="shared" si="16"/>
        <v>0</v>
      </c>
      <c r="F91" s="20">
        <f t="shared" si="17"/>
        <v>0</v>
      </c>
      <c r="G91" s="20">
        <f t="shared" si="18"/>
        <v>0</v>
      </c>
      <c r="H91" s="20">
        <f t="shared" si="19"/>
        <v>0</v>
      </c>
      <c r="I91" s="20">
        <f t="shared" si="20"/>
        <v>0</v>
      </c>
      <c r="K91" s="20">
        <f t="shared" si="21"/>
        <v>111112</v>
      </c>
      <c r="L91" s="20">
        <f t="shared" ref="L91:L99" si="23">K91</f>
        <v>111112</v>
      </c>
    </row>
    <row r="92" spans="1:12">
      <c r="A92" s="35" t="s">
        <v>364</v>
      </c>
      <c r="B92" s="20">
        <f t="shared" si="13"/>
        <v>0</v>
      </c>
      <c r="C92" s="20">
        <f t="shared" si="14"/>
        <v>0</v>
      </c>
      <c r="D92" s="20">
        <f t="shared" si="15"/>
        <v>0</v>
      </c>
      <c r="E92" s="20">
        <f t="shared" si="16"/>
        <v>0</v>
      </c>
      <c r="F92" s="20">
        <f t="shared" si="17"/>
        <v>0</v>
      </c>
      <c r="G92" s="20">
        <f t="shared" si="18"/>
        <v>0</v>
      </c>
      <c r="H92" s="20">
        <f t="shared" si="19"/>
        <v>0</v>
      </c>
      <c r="I92" s="20">
        <f t="shared" si="20"/>
        <v>0</v>
      </c>
      <c r="K92" s="20">
        <f t="shared" si="21"/>
        <v>0</v>
      </c>
      <c r="L92" s="20">
        <f t="shared" si="23"/>
        <v>0</v>
      </c>
    </row>
    <row r="93" spans="1:12">
      <c r="A93" s="35" t="s">
        <v>980</v>
      </c>
      <c r="B93" s="20">
        <f t="shared" si="13"/>
        <v>406084.0832</v>
      </c>
      <c r="C93" s="20">
        <f t="shared" si="14"/>
        <v>0</v>
      </c>
      <c r="D93" s="20">
        <f t="shared" si="15"/>
        <v>0</v>
      </c>
      <c r="E93" s="20">
        <f t="shared" si="16"/>
        <v>241193.23</v>
      </c>
      <c r="F93" s="20">
        <f t="shared" si="17"/>
        <v>86132.1188</v>
      </c>
      <c r="G93" s="20">
        <f t="shared" si="18"/>
        <v>0</v>
      </c>
      <c r="H93" s="20">
        <f t="shared" si="19"/>
        <v>0</v>
      </c>
      <c r="I93" s="20">
        <f t="shared" si="20"/>
        <v>0</v>
      </c>
      <c r="K93" s="20">
        <f t="shared" si="21"/>
        <v>733409</v>
      </c>
      <c r="L93" s="20">
        <f t="shared" si="23"/>
        <v>733409</v>
      </c>
    </row>
    <row r="94" spans="1:12">
      <c r="A94" s="35" t="s">
        <v>981</v>
      </c>
      <c r="B94" s="20">
        <f t="shared" si="13"/>
        <v>638444.7132</v>
      </c>
      <c r="C94" s="20">
        <f t="shared" si="14"/>
        <v>0</v>
      </c>
      <c r="D94" s="20">
        <f t="shared" si="15"/>
        <v>0</v>
      </c>
      <c r="E94" s="20">
        <f t="shared" si="16"/>
        <v>173438.35</v>
      </c>
      <c r="F94" s="20">
        <f t="shared" si="17"/>
        <v>0</v>
      </c>
      <c r="G94" s="20">
        <f t="shared" si="18"/>
        <v>0</v>
      </c>
      <c r="H94" s="20">
        <f t="shared" si="19"/>
        <v>0</v>
      </c>
      <c r="I94" s="20">
        <f t="shared" si="20"/>
        <v>0</v>
      </c>
      <c r="K94" s="20">
        <f t="shared" si="21"/>
        <v>811883</v>
      </c>
      <c r="L94" s="20">
        <f t="shared" si="23"/>
        <v>811883</v>
      </c>
    </row>
    <row r="95" spans="1:12">
      <c r="A95" s="35" t="s">
        <v>72</v>
      </c>
      <c r="B95" s="20">
        <f t="shared" si="13"/>
        <v>0</v>
      </c>
      <c r="C95" s="20">
        <f t="shared" si="14"/>
        <v>0</v>
      </c>
      <c r="D95" s="20">
        <f t="shared" si="15"/>
        <v>0</v>
      </c>
      <c r="E95" s="20">
        <f t="shared" si="16"/>
        <v>0</v>
      </c>
      <c r="F95" s="20">
        <f t="shared" si="17"/>
        <v>0</v>
      </c>
      <c r="G95" s="20">
        <f t="shared" si="18"/>
        <v>0</v>
      </c>
      <c r="H95" s="20">
        <f t="shared" si="19"/>
        <v>0</v>
      </c>
      <c r="I95" s="20">
        <f t="shared" si="20"/>
        <v>0</v>
      </c>
      <c r="K95" s="20">
        <f t="shared" si="21"/>
        <v>0</v>
      </c>
      <c r="L95" s="20">
        <f t="shared" si="23"/>
        <v>0</v>
      </c>
    </row>
    <row r="96" spans="1:12">
      <c r="A96" s="35" t="s">
        <v>70</v>
      </c>
      <c r="B96" s="20">
        <f t="shared" si="13"/>
        <v>0</v>
      </c>
      <c r="C96" s="20">
        <f t="shared" si="14"/>
        <v>0</v>
      </c>
      <c r="D96" s="20">
        <f t="shared" si="15"/>
        <v>0</v>
      </c>
      <c r="E96" s="20">
        <f t="shared" si="16"/>
        <v>0</v>
      </c>
      <c r="F96" s="20">
        <f t="shared" si="17"/>
        <v>0</v>
      </c>
      <c r="G96" s="20">
        <f t="shared" si="18"/>
        <v>0</v>
      </c>
      <c r="H96" s="20">
        <f t="shared" si="19"/>
        <v>0</v>
      </c>
      <c r="I96" s="20">
        <f t="shared" si="20"/>
        <v>0</v>
      </c>
      <c r="K96" s="20">
        <f t="shared" si="21"/>
        <v>0</v>
      </c>
      <c r="L96" s="20">
        <f t="shared" si="23"/>
        <v>0</v>
      </c>
    </row>
    <row r="97" spans="1:12">
      <c r="A97" s="35" t="s">
        <v>982</v>
      </c>
      <c r="B97" s="20">
        <f t="shared" si="13"/>
        <v>0</v>
      </c>
      <c r="C97" s="20">
        <f t="shared" si="14"/>
        <v>0</v>
      </c>
      <c r="D97" s="20">
        <f t="shared" si="15"/>
        <v>0</v>
      </c>
      <c r="E97" s="20">
        <f t="shared" si="16"/>
        <v>0</v>
      </c>
      <c r="F97" s="20">
        <f t="shared" si="17"/>
        <v>0</v>
      </c>
      <c r="G97" s="20">
        <f t="shared" si="18"/>
        <v>0</v>
      </c>
      <c r="H97" s="20">
        <f t="shared" si="19"/>
        <v>0</v>
      </c>
      <c r="I97" s="20">
        <f t="shared" si="20"/>
        <v>0</v>
      </c>
      <c r="K97" s="20">
        <f t="shared" si="21"/>
        <v>0</v>
      </c>
      <c r="L97" s="20">
        <f t="shared" si="23"/>
        <v>0</v>
      </c>
    </row>
    <row r="98" spans="1:12">
      <c r="A98" s="20" t="s">
        <v>983</v>
      </c>
      <c r="B98" s="20">
        <f t="shared" si="13"/>
        <v>0</v>
      </c>
      <c r="C98" s="20">
        <f t="shared" si="14"/>
        <v>0</v>
      </c>
      <c r="D98" s="20">
        <f t="shared" si="15"/>
        <v>0</v>
      </c>
      <c r="E98" s="20">
        <f t="shared" si="16"/>
        <v>0</v>
      </c>
      <c r="F98" s="20">
        <f t="shared" si="17"/>
        <v>0</v>
      </c>
      <c r="G98" s="20">
        <f t="shared" si="18"/>
        <v>0</v>
      </c>
      <c r="H98" s="20">
        <f t="shared" si="19"/>
        <v>0</v>
      </c>
      <c r="I98" s="20">
        <f t="shared" si="20"/>
        <v>0</v>
      </c>
      <c r="K98" s="20">
        <f t="shared" si="21"/>
        <v>0</v>
      </c>
      <c r="L98" s="20">
        <f t="shared" si="23"/>
        <v>0</v>
      </c>
    </row>
    <row r="99" spans="1:12">
      <c r="A99" s="35" t="s">
        <v>984</v>
      </c>
      <c r="B99" s="20">
        <f t="shared" si="13"/>
        <v>0</v>
      </c>
      <c r="C99" s="20">
        <f t="shared" si="14"/>
        <v>0</v>
      </c>
      <c r="D99" s="20">
        <f t="shared" si="15"/>
        <v>0</v>
      </c>
      <c r="E99" s="20">
        <f t="shared" si="16"/>
        <v>0</v>
      </c>
      <c r="F99" s="20">
        <f t="shared" si="17"/>
        <v>0</v>
      </c>
      <c r="G99" s="20">
        <f t="shared" si="18"/>
        <v>0</v>
      </c>
      <c r="H99" s="20">
        <f t="shared" si="19"/>
        <v>0</v>
      </c>
      <c r="I99" s="20">
        <f t="shared" si="20"/>
        <v>0</v>
      </c>
      <c r="K99" s="20">
        <f t="shared" si="21"/>
        <v>0</v>
      </c>
      <c r="L99" s="20">
        <f t="shared" si="23"/>
        <v>0</v>
      </c>
    </row>
    <row r="100" spans="1:9">
      <c r="A100" s="20" t="s">
        <v>985</v>
      </c>
      <c r="B100" s="20">
        <f t="shared" si="13"/>
        <v>0</v>
      </c>
      <c r="C100" s="20">
        <f t="shared" si="14"/>
        <v>0</v>
      </c>
      <c r="D100" s="20">
        <f t="shared" si="15"/>
        <v>0</v>
      </c>
      <c r="E100" s="20">
        <f t="shared" si="16"/>
        <v>0</v>
      </c>
      <c r="F100" s="20">
        <f t="shared" si="17"/>
        <v>0</v>
      </c>
      <c r="G100" s="20">
        <f t="shared" si="18"/>
        <v>0</v>
      </c>
      <c r="H100" s="20">
        <f t="shared" si="19"/>
        <v>0</v>
      </c>
      <c r="I100" s="20">
        <f t="shared" si="20"/>
        <v>0</v>
      </c>
    </row>
    <row r="101" spans="9:9">
      <c r="I101" s="20">
        <f>INT(SUM(B71:I100)+(SUM(B71:I100)*8/35*1%*30%+SUM(B71:I100)*8/35*5%*70%)*额外增益统计!D168)</f>
        <v>218081514</v>
      </c>
    </row>
  </sheetData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1"/>
  <sheetViews>
    <sheetView workbookViewId="0">
      <pane xSplit="1" ySplit="1" topLeftCell="B62" activePane="bottomRight" state="frozen"/>
      <selection/>
      <selection pane="topRight"/>
      <selection pane="bottomLeft"/>
      <selection pane="bottomRight" activeCell="B55" sqref="B55"/>
    </sheetView>
  </sheetViews>
  <sheetFormatPr defaultColWidth="9.64166666666667" defaultRowHeight="13.5"/>
  <cols>
    <col min="1" max="1" width="17.25" style="20" customWidth="1"/>
    <col min="2" max="6" width="12.625" style="20"/>
    <col min="7" max="7" width="11.375" style="20" customWidth="1"/>
    <col min="8" max="8" width="9.75" style="20" customWidth="1"/>
    <col min="9" max="9" width="12.875" style="20" customWidth="1"/>
    <col min="10" max="10" width="11.25" style="20" customWidth="1"/>
    <col min="11" max="11" width="12.875" style="20" customWidth="1"/>
    <col min="12" max="12" width="10" style="20" customWidth="1"/>
    <col min="13" max="13" width="14.25" style="20" customWidth="1"/>
    <col min="14" max="14" width="8.875" style="20" customWidth="1"/>
    <col min="15" max="15" width="11.125" style="20" customWidth="1"/>
    <col min="16" max="19" width="12.875" style="20" customWidth="1"/>
    <col min="20" max="20" width="15" style="20" customWidth="1"/>
    <col min="21" max="21" width="12.875" style="20" customWidth="1"/>
    <col min="22" max="27" width="12.625" style="20"/>
    <col min="28" max="28" width="17.125" style="20" customWidth="1"/>
    <col min="29" max="30" width="12.625" style="20"/>
    <col min="31" max="31" width="19.125" style="20" customWidth="1"/>
    <col min="32" max="32" width="13.125" style="20" customWidth="1"/>
    <col min="33" max="33" width="16.25" style="20" customWidth="1"/>
    <col min="34" max="34" width="22.25" style="20" customWidth="1"/>
    <col min="35" max="37" width="12.875" style="20" customWidth="1"/>
    <col min="38" max="38" width="17.125" style="20" customWidth="1"/>
    <col min="39" max="39" width="21.5" style="20" customWidth="1"/>
    <col min="40" max="40" width="11" style="20" customWidth="1"/>
    <col min="41" max="41" width="9" style="20" customWidth="1"/>
    <col min="42" max="16384" width="9.64166666666667" style="20"/>
  </cols>
  <sheetData>
    <row r="1" spans="1:40">
      <c r="A1" s="20">
        <f>'伤害统计(理想)'!A1</f>
        <v>0</v>
      </c>
      <c r="B1" s="20" t="str">
        <f>'伤害统计(理想)'!B1</f>
        <v>基础伤害</v>
      </c>
      <c r="C1" s="20" t="str">
        <f>'伤害统计(理想)'!C1</f>
        <v>基础攻击力</v>
      </c>
      <c r="D1" s="20" t="str">
        <f>'伤害统计(理想)'!D1</f>
        <v>攻击力</v>
      </c>
      <c r="E1" s="20" t="str">
        <f>'伤害统计(理想)'!E1</f>
        <v>攻击系数</v>
      </c>
      <c r="F1" s="20" t="str">
        <f>'伤害统计(理想)'!F1</f>
        <v>技改系数</v>
      </c>
      <c r="G1" s="20" t="str">
        <f>'伤害统计(理想)'!G1</f>
        <v>秘籍加成</v>
      </c>
      <c r="H1" s="20" t="str">
        <f>'伤害统计(理想)'!H1</f>
        <v>奇穴加成</v>
      </c>
      <c r="I1" s="20" t="str">
        <f>'伤害统计(理想)'!I1</f>
        <v>非侠加成</v>
      </c>
      <c r="J1" s="20" t="str">
        <f>'伤害统计(理想)'!J1</f>
        <v>破防值</v>
      </c>
      <c r="K1" s="20" t="str">
        <f>'伤害统计(理想)'!K1</f>
        <v>腰坠破防加成</v>
      </c>
      <c r="L1" s="20" t="str">
        <f>'伤害统计(理想)'!L1</f>
        <v>防御值</v>
      </c>
      <c r="M1" s="20" t="str">
        <f>'伤害统计(理想)'!M1</f>
        <v>无双</v>
      </c>
      <c r="N1" s="20" t="str">
        <f>'伤害统计(理想)'!N1</f>
        <v>等级压制</v>
      </c>
      <c r="O1" s="20" t="str">
        <f>'伤害统计(理想)'!O1</f>
        <v>会心</v>
      </c>
      <c r="P1" s="20" t="str">
        <f>'伤害统计(理想)'!P1</f>
        <v>奇穴会心加成</v>
      </c>
      <c r="Q1" s="20" t="str">
        <f>'伤害统计(理想)'!Q1</f>
        <v>常规最终会心</v>
      </c>
      <c r="R1" s="20" t="str">
        <f>'伤害统计(理想)'!R1</f>
        <v>紫气会心加成</v>
      </c>
      <c r="S1" s="20" t="str">
        <f>'伤害统计(理想)'!S1</f>
        <v>紫气最终会心</v>
      </c>
      <c r="T1" s="20" t="str">
        <f>'伤害统计(理想)'!T1</f>
        <v>会效</v>
      </c>
      <c r="U1" s="20" t="str">
        <f>'伤害统计(理想)'!U1</f>
        <v>奇穴会效加成</v>
      </c>
      <c r="V1" s="20" t="str">
        <f>'伤害统计(理想)'!V1</f>
        <v>常规最终会效</v>
      </c>
      <c r="W1" s="20" t="str">
        <f>'伤害统计(理想)'!W1</f>
        <v>厚亡会效加成</v>
      </c>
      <c r="X1" s="20" t="str">
        <f>'伤害统计(理想)'!X1</f>
        <v>厚亡最终会效</v>
      </c>
      <c r="Y1" s="20" t="str">
        <f>'伤害统计(理想)'!Y1</f>
        <v>紫气会效加成</v>
      </c>
      <c r="Z1" s="20" t="str">
        <f>'伤害统计(理想)'!Z1</f>
        <v>紫气最终会效</v>
      </c>
      <c r="AA1" s="20" t="str">
        <f>'伤害统计(理想)'!AA1</f>
        <v>会神会效加成</v>
      </c>
      <c r="AB1" s="20" t="str">
        <f>'伤害统计(理想)'!AB1</f>
        <v>会神紫气最终会效</v>
      </c>
      <c r="AC1" s="20" t="s">
        <v>947</v>
      </c>
      <c r="AD1" s="20" t="s">
        <v>948</v>
      </c>
      <c r="AE1" s="20" t="s">
        <v>949</v>
      </c>
      <c r="AF1" s="20" t="s">
        <v>950</v>
      </c>
      <c r="AG1" s="20" t="s">
        <v>951</v>
      </c>
      <c r="AH1" s="20" t="s">
        <v>952</v>
      </c>
      <c r="AI1" s="20" t="s">
        <v>953</v>
      </c>
      <c r="AJ1" s="20" t="s">
        <v>954</v>
      </c>
      <c r="AK1" s="20" t="s">
        <v>955</v>
      </c>
      <c r="AL1" s="20" t="s">
        <v>956</v>
      </c>
      <c r="AM1" s="20" t="s">
        <v>957</v>
      </c>
      <c r="AN1" s="20" t="s">
        <v>958</v>
      </c>
    </row>
    <row r="2" spans="1:40">
      <c r="A2" s="20" t="str">
        <f>'伤害统计(理想)'!A2</f>
        <v>万世二段</v>
      </c>
      <c r="B2" s="20">
        <f>'伤害统计(理想)'!B2</f>
        <v>1189</v>
      </c>
      <c r="C2" s="20">
        <f>'伤害统计(理想)'!C2</f>
        <v>34400</v>
      </c>
      <c r="D2" s="20">
        <f>'伤害统计(理想)'!D2</f>
        <v>45792</v>
      </c>
      <c r="E2" s="20">
        <f>'伤害统计(理想)'!E2</f>
        <v>2.4325</v>
      </c>
      <c r="F2" s="20">
        <f>'伤害统计(理想)'!F2</f>
        <v>1</v>
      </c>
      <c r="G2" s="20">
        <f>'伤害统计(理想)'!G2</f>
        <v>0.12</v>
      </c>
      <c r="H2" s="20">
        <f>'伤害统计(理想)'!H2</f>
        <v>0.1</v>
      </c>
      <c r="I2" s="20">
        <f>'伤害统计(理想)'!I2</f>
        <v>1.35</v>
      </c>
      <c r="J2" s="20">
        <f>'伤害统计(理想)'!J2</f>
        <v>0.472</v>
      </c>
      <c r="K2" s="20">
        <f>'伤害统计(理想)'!K2</f>
        <v>0.1181</v>
      </c>
      <c r="L2" s="20">
        <f>'伤害统计(理想)'!L2</f>
        <v>0.177214436704937</v>
      </c>
      <c r="M2" s="20">
        <f>'伤害统计(理想)'!M2</f>
        <v>0.3473</v>
      </c>
      <c r="N2" s="20">
        <f>'伤害统计(理想)'!N2</f>
        <v>0.2</v>
      </c>
      <c r="O2" s="8">
        <f>'伤害统计(理想)'!O2+'属性收益计算&amp;备注'!X15</f>
        <v>0.501765</v>
      </c>
      <c r="P2" s="20">
        <f>'伤害统计(理想)'!P2</f>
        <v>0</v>
      </c>
      <c r="Q2" s="20">
        <f>MIN(O2+P2,1)</f>
        <v>0.501765</v>
      </c>
      <c r="R2" s="20">
        <f>'伤害统计(理想)'!R2</f>
        <v>0.2441</v>
      </c>
      <c r="S2" s="20">
        <f>MIN(Q2+R2,1)</f>
        <v>0.745865</v>
      </c>
      <c r="T2" s="20">
        <f>'伤害统计(理想)'!T2</f>
        <v>2.0895</v>
      </c>
      <c r="U2" s="20">
        <f>'伤害统计(理想)'!U2</f>
        <v>0</v>
      </c>
      <c r="V2" s="20">
        <f>'伤害统计(理想)'!V2</f>
        <v>2.0895</v>
      </c>
      <c r="W2" s="20">
        <f>'伤害统计(理想)'!W2</f>
        <v>0.2441</v>
      </c>
      <c r="X2" s="20">
        <f>'伤害统计(理想)'!X2</f>
        <v>2.3336</v>
      </c>
      <c r="Y2" s="20">
        <f>'伤害统计(理想)'!Y2</f>
        <v>0.2441</v>
      </c>
      <c r="Z2" s="20">
        <f>'伤害统计(理想)'!Z2</f>
        <v>2.3336</v>
      </c>
      <c r="AA2" s="20">
        <f>'伤害统计(理想)'!AA2</f>
        <v>0.1953</v>
      </c>
      <c r="AB2" s="20">
        <f>'伤害统计(理想)'!AB2</f>
        <v>2.5289</v>
      </c>
      <c r="AC2" s="20">
        <f t="shared" ref="AC2:AC32" si="0">INT(INT(B2+D2*E2)*F2*(1+G2+H2)*(1+I2)*(1+J2)*(1-L2)*(1+M2)*(1-N2))</f>
        <v>421337</v>
      </c>
      <c r="AD2" s="20">
        <f t="shared" ref="AD2:AD32" si="1">INT((B2+(D2+C2*50%)*E2)*F2*(1+G2+H2)*(1+I2)*(1+J2)*(1-L2)*(1+M2)*(1-N2))</f>
        <v>577925</v>
      </c>
      <c r="AE2" s="20">
        <f t="shared" ref="AE2:AE32" si="2">INT((B2+(D2+C2*50%)*E2)*F2*(1+G2+H2)*(1+I2)*(1+J2+K2)*(1-L2)*(1+M2)*(1-N2))</f>
        <v>624292</v>
      </c>
      <c r="AF2" s="20">
        <f t="shared" ref="AF2:AF32" si="3">INT(AC2*V2)</f>
        <v>880383</v>
      </c>
      <c r="AG2" s="20">
        <f t="shared" ref="AG2:AG32" si="4">INT(AD2*Z2)</f>
        <v>1348645</v>
      </c>
      <c r="AH2" s="20">
        <f>INT(AE2*Z2)</f>
        <v>1456847</v>
      </c>
      <c r="AI2" s="20">
        <f t="shared" ref="AI2:AI32" si="5">INT((B2+(D2+C2*25%)*E2)*F2*(1+G2+H2)*(1+I2)*(1+J2)*(1-L2)*(1+M2)*(1-N2))</f>
        <v>499631</v>
      </c>
      <c r="AJ2" s="20">
        <f t="shared" ref="AJ2:AJ32" si="6">INT(AI2*X2)</f>
        <v>1165938</v>
      </c>
      <c r="AK2" s="20">
        <f t="shared" ref="AK2:AK32" si="7">INT((B2+(D2+C2*25%)*E2)*F2*(1+G2+H2)*(1+I2)*(1+J2+K2)*(1-L2)*(1+M2)*(1-N2))</f>
        <v>539717</v>
      </c>
      <c r="AL2" s="20">
        <f t="shared" ref="AL2:AL32" si="8">INT(AK2*X2)</f>
        <v>1259483</v>
      </c>
      <c r="AM2" s="20">
        <f t="shared" ref="AM2:AM32" si="9">INT(AD2*AB2)</f>
        <v>1461514</v>
      </c>
      <c r="AN2" s="20">
        <f t="shared" ref="AN2:AN32" si="10">INT(AE2*AB2)</f>
        <v>1578772</v>
      </c>
    </row>
    <row r="3" spans="1:40">
      <c r="A3" s="20" t="str">
        <f>'伤害统计(理想)'!A3</f>
        <v>飞剑1</v>
      </c>
      <c r="B3" s="20">
        <f>'伤害统计(理想)'!B3</f>
        <v>50</v>
      </c>
      <c r="C3" s="20">
        <f>'伤害统计(理想)'!C3</f>
        <v>34400</v>
      </c>
      <c r="D3" s="20">
        <f>'伤害统计(理想)'!D3</f>
        <v>45792</v>
      </c>
      <c r="E3" s="20">
        <f>'伤害统计(理想)'!E3</f>
        <v>0.286996875</v>
      </c>
      <c r="F3" s="20">
        <f>'伤害统计(理想)'!F3</f>
        <v>1</v>
      </c>
      <c r="G3" s="20">
        <f>'伤害统计(理想)'!G3</f>
        <v>0.12</v>
      </c>
      <c r="H3" s="20">
        <f>'伤害统计(理想)'!H3</f>
        <v>0.1</v>
      </c>
      <c r="I3" s="20">
        <f>'伤害统计(理想)'!I3</f>
        <v>1.35</v>
      </c>
      <c r="J3" s="20">
        <f>'伤害统计(理想)'!J3</f>
        <v>0.472</v>
      </c>
      <c r="K3" s="20">
        <f>'伤害统计(理想)'!K3</f>
        <v>0.1181</v>
      </c>
      <c r="L3" s="20">
        <f>'伤害统计(理想)'!L3</f>
        <v>0.177214436704937</v>
      </c>
      <c r="M3" s="20">
        <f>'伤害统计(理想)'!M3</f>
        <v>0.3473</v>
      </c>
      <c r="N3" s="20">
        <f>'伤害统计(理想)'!N3</f>
        <v>0.2</v>
      </c>
      <c r="O3" s="8">
        <f>O2</f>
        <v>0.501765</v>
      </c>
      <c r="P3" s="20">
        <f>'伤害统计(理想)'!P3</f>
        <v>0</v>
      </c>
      <c r="Q3" s="20">
        <f t="shared" ref="Q3:Q30" si="11">MIN(O3+P3,1)</f>
        <v>0.501765</v>
      </c>
      <c r="R3" s="20">
        <f>'伤害统计(理想)'!R3</f>
        <v>0.2441</v>
      </c>
      <c r="S3" s="20">
        <f t="shared" ref="S3:S30" si="12">MIN(Q3+R3,1)</f>
        <v>0.745865</v>
      </c>
      <c r="T3" s="20">
        <f>'伤害统计(理想)'!T3</f>
        <v>2.0895</v>
      </c>
      <c r="U3" s="20">
        <f>'伤害统计(理想)'!U3</f>
        <v>0</v>
      </c>
      <c r="V3" s="20">
        <f>'伤害统计(理想)'!V3</f>
        <v>2.0895</v>
      </c>
      <c r="W3" s="20">
        <f>'伤害统计(理想)'!W3</f>
        <v>0.2441</v>
      </c>
      <c r="X3" s="20">
        <f>'伤害统计(理想)'!X3</f>
        <v>2.3336</v>
      </c>
      <c r="Y3" s="20">
        <f>'伤害统计(理想)'!Y3</f>
        <v>0.2441</v>
      </c>
      <c r="Z3" s="20">
        <f>'伤害统计(理想)'!Z3</f>
        <v>2.3336</v>
      </c>
      <c r="AA3" s="20">
        <f>'伤害统计(理想)'!AA3</f>
        <v>0.1953</v>
      </c>
      <c r="AB3" s="20">
        <f>'伤害统计(理想)'!AB3</f>
        <v>2.5289</v>
      </c>
      <c r="AC3" s="20">
        <f t="shared" si="0"/>
        <v>49372</v>
      </c>
      <c r="AD3" s="20">
        <f t="shared" si="1"/>
        <v>67848</v>
      </c>
      <c r="AE3" s="20">
        <f t="shared" si="2"/>
        <v>73291</v>
      </c>
      <c r="AF3" s="20">
        <f t="shared" si="3"/>
        <v>103162</v>
      </c>
      <c r="AG3" s="20">
        <f t="shared" si="4"/>
        <v>158330</v>
      </c>
      <c r="AH3" s="20">
        <f>INT(AE3*(T3+U3+0.4441+按提示输入属性!D64*0.1953))</f>
        <v>200003</v>
      </c>
      <c r="AI3" s="20">
        <f t="shared" si="5"/>
        <v>58610</v>
      </c>
      <c r="AJ3" s="20">
        <f t="shared" si="6"/>
        <v>136772</v>
      </c>
      <c r="AK3" s="20">
        <f t="shared" si="7"/>
        <v>63313</v>
      </c>
      <c r="AL3" s="20">
        <f t="shared" si="8"/>
        <v>147747</v>
      </c>
      <c r="AM3" s="20">
        <f t="shared" si="9"/>
        <v>171580</v>
      </c>
      <c r="AN3" s="20">
        <f t="shared" si="10"/>
        <v>185345</v>
      </c>
    </row>
    <row r="4" spans="1:40">
      <c r="A4" s="20" t="str">
        <f>'伤害统计(理想)'!A4</f>
        <v>飞剑2</v>
      </c>
      <c r="B4" s="20">
        <f>'伤害统计(理想)'!B4</f>
        <v>50</v>
      </c>
      <c r="C4" s="20">
        <f>'伤害统计(理想)'!C4</f>
        <v>34400</v>
      </c>
      <c r="D4" s="20">
        <f>'伤害统计(理想)'!D4</f>
        <v>45792</v>
      </c>
      <c r="E4" s="20">
        <f>'伤害统计(理想)'!E4</f>
        <v>0.286996875</v>
      </c>
      <c r="F4" s="20">
        <f>'伤害统计(理想)'!F4</f>
        <v>1</v>
      </c>
      <c r="G4" s="20">
        <f>'伤害统计(理想)'!G4</f>
        <v>0.12</v>
      </c>
      <c r="H4" s="20">
        <f>'伤害统计(理想)'!H4</f>
        <v>0.25</v>
      </c>
      <c r="I4" s="20">
        <f>'伤害统计(理想)'!I4</f>
        <v>1.35</v>
      </c>
      <c r="J4" s="20">
        <f>'伤害统计(理想)'!J4</f>
        <v>0.472</v>
      </c>
      <c r="K4" s="20">
        <f>'伤害统计(理想)'!K4</f>
        <v>0.1181</v>
      </c>
      <c r="L4" s="20">
        <f>'伤害统计(理想)'!L4</f>
        <v>0.177214436704937</v>
      </c>
      <c r="M4" s="20">
        <f>'伤害统计(理想)'!M4</f>
        <v>0.3473</v>
      </c>
      <c r="N4" s="20">
        <f>'伤害统计(理想)'!N4</f>
        <v>0.2</v>
      </c>
      <c r="O4" s="8">
        <f>O2</f>
        <v>0.501765</v>
      </c>
      <c r="P4" s="20">
        <f>'伤害统计(理想)'!P4</f>
        <v>0</v>
      </c>
      <c r="Q4" s="20">
        <f t="shared" si="11"/>
        <v>0.501765</v>
      </c>
      <c r="R4" s="20">
        <f>'伤害统计(理想)'!R4</f>
        <v>0.2441</v>
      </c>
      <c r="S4" s="20">
        <f t="shared" si="12"/>
        <v>0.745865</v>
      </c>
      <c r="T4" s="20">
        <f>'伤害统计(理想)'!T4</f>
        <v>2.0895</v>
      </c>
      <c r="U4" s="20">
        <f>'伤害统计(理想)'!U4</f>
        <v>0</v>
      </c>
      <c r="V4" s="20">
        <f>'伤害统计(理想)'!V4</f>
        <v>2.0895</v>
      </c>
      <c r="W4" s="20">
        <f>'伤害统计(理想)'!W4</f>
        <v>0.2441</v>
      </c>
      <c r="X4" s="20">
        <f>'伤害统计(理想)'!X4</f>
        <v>2.3336</v>
      </c>
      <c r="Y4" s="20">
        <f>'伤害统计(理想)'!Y4</f>
        <v>0.2441</v>
      </c>
      <c r="Z4" s="20">
        <f>'伤害统计(理想)'!Z4</f>
        <v>2.3336</v>
      </c>
      <c r="AA4" s="20">
        <f>'伤害统计(理想)'!AA4</f>
        <v>0.1953</v>
      </c>
      <c r="AB4" s="20">
        <f>'伤害统计(理想)'!AB4</f>
        <v>2.5289</v>
      </c>
      <c r="AC4" s="20">
        <f t="shared" si="0"/>
        <v>55443</v>
      </c>
      <c r="AD4" s="20">
        <f t="shared" si="1"/>
        <v>76190</v>
      </c>
      <c r="AE4" s="20">
        <f t="shared" si="2"/>
        <v>82303</v>
      </c>
      <c r="AF4" s="20">
        <f t="shared" si="3"/>
        <v>115848</v>
      </c>
      <c r="AG4" s="20">
        <f t="shared" si="4"/>
        <v>177796</v>
      </c>
      <c r="AH4" s="20">
        <f>INT(AE4*(T4+U4+0.4441+按提示输入属性!D64*0.1953))</f>
        <v>224596</v>
      </c>
      <c r="AI4" s="20">
        <f t="shared" si="5"/>
        <v>65817</v>
      </c>
      <c r="AJ4" s="20">
        <f t="shared" si="6"/>
        <v>153590</v>
      </c>
      <c r="AK4" s="20">
        <f t="shared" si="7"/>
        <v>71097</v>
      </c>
      <c r="AL4" s="20">
        <f t="shared" si="8"/>
        <v>165911</v>
      </c>
      <c r="AM4" s="20">
        <f t="shared" si="9"/>
        <v>192676</v>
      </c>
      <c r="AN4" s="20">
        <f t="shared" si="10"/>
        <v>208136</v>
      </c>
    </row>
    <row r="5" spans="1:40">
      <c r="A5" s="20" t="str">
        <f>'伤害统计(理想)'!A5</f>
        <v>飞剑3</v>
      </c>
      <c r="B5" s="20">
        <f>'伤害统计(理想)'!B5</f>
        <v>50</v>
      </c>
      <c r="C5" s="20">
        <f>'伤害统计(理想)'!C5</f>
        <v>34400</v>
      </c>
      <c r="D5" s="20">
        <f>'伤害统计(理想)'!D5</f>
        <v>45792</v>
      </c>
      <c r="E5" s="20">
        <f>'伤害统计(理想)'!E5</f>
        <v>0.286996875</v>
      </c>
      <c r="F5" s="20">
        <f>'伤害统计(理想)'!F5</f>
        <v>1</v>
      </c>
      <c r="G5" s="20">
        <f>'伤害统计(理想)'!G5</f>
        <v>0.12</v>
      </c>
      <c r="H5" s="20">
        <f>'伤害统计(理想)'!H5</f>
        <v>0.4</v>
      </c>
      <c r="I5" s="20">
        <f>'伤害统计(理想)'!I5</f>
        <v>1.35</v>
      </c>
      <c r="J5" s="20">
        <f>'伤害统计(理想)'!J5</f>
        <v>0.472</v>
      </c>
      <c r="K5" s="20">
        <f>'伤害统计(理想)'!K5</f>
        <v>0.1181</v>
      </c>
      <c r="L5" s="20">
        <f>'伤害统计(理想)'!L5</f>
        <v>0.177214436704937</v>
      </c>
      <c r="M5" s="20">
        <f>'伤害统计(理想)'!M5</f>
        <v>0.3473</v>
      </c>
      <c r="N5" s="20">
        <f>'伤害统计(理想)'!N5</f>
        <v>0.2</v>
      </c>
      <c r="O5" s="8">
        <f>O2</f>
        <v>0.501765</v>
      </c>
      <c r="P5" s="20">
        <f>'伤害统计(理想)'!P5</f>
        <v>0</v>
      </c>
      <c r="Q5" s="20">
        <f t="shared" si="11"/>
        <v>0.501765</v>
      </c>
      <c r="R5" s="20">
        <f>'伤害统计(理想)'!R5</f>
        <v>0.2441</v>
      </c>
      <c r="S5" s="20">
        <f t="shared" si="12"/>
        <v>0.745865</v>
      </c>
      <c r="T5" s="20">
        <f>'伤害统计(理想)'!T5</f>
        <v>2.0895</v>
      </c>
      <c r="U5" s="20">
        <f>'伤害统计(理想)'!U5</f>
        <v>0</v>
      </c>
      <c r="V5" s="20">
        <f>'伤害统计(理想)'!V5</f>
        <v>2.0895</v>
      </c>
      <c r="W5" s="20">
        <f>'伤害统计(理想)'!W5</f>
        <v>0.2441</v>
      </c>
      <c r="X5" s="20">
        <f>'伤害统计(理想)'!X5</f>
        <v>2.3336</v>
      </c>
      <c r="Y5" s="20">
        <f>'伤害统计(理想)'!Y5</f>
        <v>0.2441</v>
      </c>
      <c r="Z5" s="20">
        <f>'伤害统计(理想)'!Z5</f>
        <v>2.3336</v>
      </c>
      <c r="AA5" s="20">
        <f>'伤害统计(理想)'!AA5</f>
        <v>0.1953</v>
      </c>
      <c r="AB5" s="20">
        <f>'伤害统计(理想)'!AB5</f>
        <v>2.5289</v>
      </c>
      <c r="AC5" s="20">
        <f t="shared" si="0"/>
        <v>61513</v>
      </c>
      <c r="AD5" s="20">
        <f t="shared" si="1"/>
        <v>84532</v>
      </c>
      <c r="AE5" s="20">
        <f t="shared" si="2"/>
        <v>91314</v>
      </c>
      <c r="AF5" s="20">
        <f t="shared" si="3"/>
        <v>128531</v>
      </c>
      <c r="AG5" s="20">
        <f t="shared" si="4"/>
        <v>197263</v>
      </c>
      <c r="AH5" s="20">
        <f>INT(AE5*(T5+U5+0.4441+按提示输入属性!D64*0.1953))</f>
        <v>249186</v>
      </c>
      <c r="AI5" s="20">
        <f t="shared" si="5"/>
        <v>73023</v>
      </c>
      <c r="AJ5" s="20">
        <f t="shared" si="6"/>
        <v>170406</v>
      </c>
      <c r="AK5" s="20">
        <f t="shared" si="7"/>
        <v>78881</v>
      </c>
      <c r="AL5" s="20">
        <f t="shared" si="8"/>
        <v>184076</v>
      </c>
      <c r="AM5" s="20">
        <f t="shared" si="9"/>
        <v>213772</v>
      </c>
      <c r="AN5" s="20">
        <f t="shared" si="10"/>
        <v>230923</v>
      </c>
    </row>
    <row r="6" spans="1:40">
      <c r="A6" s="20" t="str">
        <f>'伤害统计(理想)'!A6</f>
        <v>飞剑4</v>
      </c>
      <c r="B6" s="20">
        <f>'伤害统计(理想)'!B6</f>
        <v>50</v>
      </c>
      <c r="C6" s="20">
        <f>'伤害统计(理想)'!C6</f>
        <v>34400</v>
      </c>
      <c r="D6" s="20">
        <f>'伤害统计(理想)'!D6</f>
        <v>45792</v>
      </c>
      <c r="E6" s="20">
        <f>'伤害统计(理想)'!E6</f>
        <v>0.286996875</v>
      </c>
      <c r="F6" s="20">
        <f>'伤害统计(理想)'!F6</f>
        <v>1</v>
      </c>
      <c r="G6" s="20">
        <f>'伤害统计(理想)'!G6</f>
        <v>0.12</v>
      </c>
      <c r="H6" s="20">
        <f>'伤害统计(理想)'!H6</f>
        <v>0.55</v>
      </c>
      <c r="I6" s="20">
        <f>'伤害统计(理想)'!I6</f>
        <v>1.35</v>
      </c>
      <c r="J6" s="20">
        <f>'伤害统计(理想)'!J6</f>
        <v>0.472</v>
      </c>
      <c r="K6" s="20">
        <f>'伤害统计(理想)'!K6</f>
        <v>0.1181</v>
      </c>
      <c r="L6" s="20">
        <f>'伤害统计(理想)'!L6</f>
        <v>0.177214436704937</v>
      </c>
      <c r="M6" s="20">
        <f>'伤害统计(理想)'!M6</f>
        <v>0.3473</v>
      </c>
      <c r="N6" s="20">
        <f>'伤害统计(理想)'!N6</f>
        <v>0.2</v>
      </c>
      <c r="O6" s="8">
        <f>O2</f>
        <v>0.501765</v>
      </c>
      <c r="P6" s="20">
        <f>'伤害统计(理想)'!P6</f>
        <v>0</v>
      </c>
      <c r="Q6" s="20">
        <f t="shared" si="11"/>
        <v>0.501765</v>
      </c>
      <c r="R6" s="20">
        <f>'伤害统计(理想)'!R6</f>
        <v>0.2441</v>
      </c>
      <c r="S6" s="20">
        <f t="shared" si="12"/>
        <v>0.745865</v>
      </c>
      <c r="T6" s="20">
        <f>'伤害统计(理想)'!T6</f>
        <v>2.0895</v>
      </c>
      <c r="U6" s="20">
        <f>'伤害统计(理想)'!U6</f>
        <v>0</v>
      </c>
      <c r="V6" s="20">
        <f>'伤害统计(理想)'!V6</f>
        <v>2.0895</v>
      </c>
      <c r="W6" s="20">
        <f>'伤害统计(理想)'!W6</f>
        <v>0.2441</v>
      </c>
      <c r="X6" s="20">
        <f>'伤害统计(理想)'!X6</f>
        <v>2.3336</v>
      </c>
      <c r="Y6" s="20">
        <f>'伤害统计(理想)'!Y6</f>
        <v>0.2441</v>
      </c>
      <c r="Z6" s="20">
        <f>'伤害统计(理想)'!Z6</f>
        <v>2.3336</v>
      </c>
      <c r="AA6" s="20">
        <f>'伤害统计(理想)'!AA6</f>
        <v>0.1953</v>
      </c>
      <c r="AB6" s="20">
        <f>'伤害统计(理想)'!AB6</f>
        <v>2.5289</v>
      </c>
      <c r="AC6" s="20">
        <f t="shared" si="0"/>
        <v>67583</v>
      </c>
      <c r="AD6" s="20">
        <f t="shared" si="1"/>
        <v>92874</v>
      </c>
      <c r="AE6" s="20">
        <f t="shared" si="2"/>
        <v>100325</v>
      </c>
      <c r="AF6" s="20">
        <f t="shared" si="3"/>
        <v>141214</v>
      </c>
      <c r="AG6" s="20">
        <f t="shared" si="4"/>
        <v>216730</v>
      </c>
      <c r="AH6" s="20">
        <f>INT(AE6*(T6+U6+0.4441+按提示输入属性!D64*0.1953))</f>
        <v>273776</v>
      </c>
      <c r="AI6" s="20">
        <f t="shared" si="5"/>
        <v>80229</v>
      </c>
      <c r="AJ6" s="20">
        <f t="shared" si="6"/>
        <v>187222</v>
      </c>
      <c r="AK6" s="20">
        <f t="shared" si="7"/>
        <v>86666</v>
      </c>
      <c r="AL6" s="20">
        <f t="shared" si="8"/>
        <v>202243</v>
      </c>
      <c r="AM6" s="20">
        <f t="shared" si="9"/>
        <v>234869</v>
      </c>
      <c r="AN6" s="20">
        <f t="shared" si="10"/>
        <v>253711</v>
      </c>
    </row>
    <row r="7" spans="1:40">
      <c r="A7" s="20" t="str">
        <f>'伤害统计(理想)'!A7</f>
        <v>飞剑5</v>
      </c>
      <c r="B7" s="20">
        <f>'伤害统计(理想)'!B7</f>
        <v>50</v>
      </c>
      <c r="C7" s="20">
        <f>'伤害统计(理想)'!C7</f>
        <v>34400</v>
      </c>
      <c r="D7" s="20">
        <f>'伤害统计(理想)'!D7</f>
        <v>45792</v>
      </c>
      <c r="E7" s="20">
        <f>'伤害统计(理想)'!E7</f>
        <v>0.286996875</v>
      </c>
      <c r="F7" s="20">
        <f>'伤害统计(理想)'!F7</f>
        <v>1</v>
      </c>
      <c r="G7" s="20">
        <f>'伤害统计(理想)'!G7</f>
        <v>0.12</v>
      </c>
      <c r="H7" s="20">
        <f>'伤害统计(理想)'!H7</f>
        <v>0.7</v>
      </c>
      <c r="I7" s="20">
        <f>'伤害统计(理想)'!I7</f>
        <v>1.35</v>
      </c>
      <c r="J7" s="20">
        <f>'伤害统计(理想)'!J7</f>
        <v>0.472</v>
      </c>
      <c r="K7" s="20">
        <f>'伤害统计(理想)'!K7</f>
        <v>0.1181</v>
      </c>
      <c r="L7" s="20">
        <f>'伤害统计(理想)'!L7</f>
        <v>0.177214436704937</v>
      </c>
      <c r="M7" s="20">
        <f>'伤害统计(理想)'!M7</f>
        <v>0.3473</v>
      </c>
      <c r="N7" s="20">
        <f>'伤害统计(理想)'!N7</f>
        <v>0.2</v>
      </c>
      <c r="O7" s="8">
        <f>O2</f>
        <v>0.501765</v>
      </c>
      <c r="P7" s="20">
        <f>'伤害统计(理想)'!P7</f>
        <v>0</v>
      </c>
      <c r="Q7" s="20">
        <f t="shared" si="11"/>
        <v>0.501765</v>
      </c>
      <c r="R7" s="20">
        <f>'伤害统计(理想)'!R7</f>
        <v>0.2441</v>
      </c>
      <c r="S7" s="20">
        <f t="shared" si="12"/>
        <v>0.745865</v>
      </c>
      <c r="T7" s="20">
        <f>'伤害统计(理想)'!T7</f>
        <v>2.0895</v>
      </c>
      <c r="U7" s="20">
        <f>'伤害统计(理想)'!U7</f>
        <v>0</v>
      </c>
      <c r="V7" s="20">
        <f>'伤害统计(理想)'!V7</f>
        <v>2.0895</v>
      </c>
      <c r="W7" s="20">
        <f>'伤害统计(理想)'!W7</f>
        <v>0.2441</v>
      </c>
      <c r="X7" s="20">
        <f>'伤害统计(理想)'!X7</f>
        <v>2.3336</v>
      </c>
      <c r="Y7" s="20">
        <f>'伤害统计(理想)'!Y7</f>
        <v>0.2441</v>
      </c>
      <c r="Z7" s="20">
        <f>'伤害统计(理想)'!Z7</f>
        <v>2.3336</v>
      </c>
      <c r="AA7" s="20">
        <f>'伤害统计(理想)'!AA7</f>
        <v>0.1953</v>
      </c>
      <c r="AB7" s="20">
        <f>'伤害统计(理想)'!AB7</f>
        <v>2.5289</v>
      </c>
      <c r="AC7" s="20">
        <f t="shared" si="0"/>
        <v>73654</v>
      </c>
      <c r="AD7" s="20">
        <f t="shared" si="1"/>
        <v>101216</v>
      </c>
      <c r="AE7" s="20">
        <f t="shared" si="2"/>
        <v>109336</v>
      </c>
      <c r="AF7" s="20">
        <f t="shared" si="3"/>
        <v>153900</v>
      </c>
      <c r="AG7" s="20">
        <f t="shared" si="4"/>
        <v>236197</v>
      </c>
      <c r="AH7" s="20">
        <f>INT(AE7*(T7+U7+0.4441+按提示输入属性!D64*0.1953))</f>
        <v>298367</v>
      </c>
      <c r="AI7" s="20">
        <f t="shared" si="5"/>
        <v>87435</v>
      </c>
      <c r="AJ7" s="20">
        <f t="shared" si="6"/>
        <v>204038</v>
      </c>
      <c r="AK7" s="20">
        <f t="shared" si="7"/>
        <v>94450</v>
      </c>
      <c r="AL7" s="20">
        <f t="shared" si="8"/>
        <v>220408</v>
      </c>
      <c r="AM7" s="20">
        <f t="shared" si="9"/>
        <v>255965</v>
      </c>
      <c r="AN7" s="20">
        <f t="shared" si="10"/>
        <v>276499</v>
      </c>
    </row>
    <row r="8" s="20" customFormat="1" spans="1:40">
      <c r="A8" s="20" t="str">
        <f>'伤害统计(理想)'!A8</f>
        <v>颠越苍穹击</v>
      </c>
      <c r="B8" s="20">
        <f>'伤害统计(理想)'!B8</f>
        <v>1090</v>
      </c>
      <c r="C8" s="20">
        <f>'伤害统计(理想)'!C8</f>
        <v>34400</v>
      </c>
      <c r="D8" s="20">
        <f>'伤害统计(理想)'!D8</f>
        <v>45792</v>
      </c>
      <c r="E8" s="20">
        <f>'伤害统计(理想)'!E8</f>
        <v>0.7239</v>
      </c>
      <c r="F8" s="20">
        <f>'伤害统计(理想)'!F8</f>
        <v>1</v>
      </c>
      <c r="G8" s="20">
        <f>'伤害统计(理想)'!G8</f>
        <v>0</v>
      </c>
      <c r="H8" s="20">
        <f>'伤害统计(理想)'!H8</f>
        <v>0</v>
      </c>
      <c r="I8" s="20">
        <f>'伤害统计(理想)'!I8</f>
        <v>0.05</v>
      </c>
      <c r="J8" s="20">
        <f>'伤害统计(理想)'!J8</f>
        <v>0.472</v>
      </c>
      <c r="K8" s="20">
        <f>'伤害统计(理想)'!K8</f>
        <v>0.1181</v>
      </c>
      <c r="L8" s="20">
        <f>'伤害统计(理想)'!L8</f>
        <v>0.177214436704937</v>
      </c>
      <c r="M8" s="20">
        <f>'伤害统计(理想)'!M8</f>
        <v>0.3473</v>
      </c>
      <c r="N8" s="20">
        <f>'伤害统计(理想)'!N8</f>
        <v>0.2</v>
      </c>
      <c r="O8" s="8">
        <f>O2</f>
        <v>0.501765</v>
      </c>
      <c r="P8" s="20">
        <f>'伤害统计(理想)'!P8</f>
        <v>0</v>
      </c>
      <c r="Q8" s="20">
        <f t="shared" si="11"/>
        <v>0.501765</v>
      </c>
      <c r="R8" s="20">
        <f>'伤害统计(理想)'!R8</f>
        <v>0.2441</v>
      </c>
      <c r="S8" s="20">
        <f t="shared" si="12"/>
        <v>0.745865</v>
      </c>
      <c r="T8" s="20">
        <f>'伤害统计(理想)'!T8</f>
        <v>2.0895</v>
      </c>
      <c r="U8" s="20">
        <f>'伤害统计(理想)'!U8</f>
        <v>0</v>
      </c>
      <c r="V8" s="20">
        <f>'伤害统计(理想)'!V8</f>
        <v>2.0895</v>
      </c>
      <c r="W8" s="20">
        <f>'伤害统计(理想)'!W8</f>
        <v>0.2441</v>
      </c>
      <c r="X8" s="20">
        <f>'伤害统计(理想)'!X8</f>
        <v>2.3336</v>
      </c>
      <c r="Y8" s="20">
        <f>'伤害统计(理想)'!Y8</f>
        <v>0.2441</v>
      </c>
      <c r="Z8" s="20">
        <f>'伤害统计(理想)'!Z8</f>
        <v>2.3336</v>
      </c>
      <c r="AA8" s="20">
        <f>'伤害统计(理想)'!AA8</f>
        <v>0.1953</v>
      </c>
      <c r="AB8" s="20">
        <f>'伤害统计(理想)'!AB8</f>
        <v>2.5289</v>
      </c>
      <c r="AC8" s="20">
        <f t="shared" si="0"/>
        <v>46929</v>
      </c>
      <c r="AD8" s="20">
        <f t="shared" si="1"/>
        <v>63997</v>
      </c>
      <c r="AE8" s="20">
        <f t="shared" si="2"/>
        <v>69131</v>
      </c>
      <c r="AF8" s="20">
        <f t="shared" si="3"/>
        <v>98058</v>
      </c>
      <c r="AG8" s="20">
        <f t="shared" si="4"/>
        <v>149343</v>
      </c>
      <c r="AH8" s="20">
        <f t="shared" ref="AH8:AH14" si="13">INT(AE8*(T8+U8+0.4441))</f>
        <v>175150</v>
      </c>
      <c r="AI8" s="20">
        <f t="shared" si="5"/>
        <v>55463</v>
      </c>
      <c r="AJ8" s="20">
        <f t="shared" si="6"/>
        <v>129428</v>
      </c>
      <c r="AK8" s="20">
        <f t="shared" si="7"/>
        <v>59913</v>
      </c>
      <c r="AL8" s="20">
        <f t="shared" si="8"/>
        <v>139812</v>
      </c>
      <c r="AM8" s="20">
        <f t="shared" si="9"/>
        <v>161842</v>
      </c>
      <c r="AN8" s="20">
        <f t="shared" si="10"/>
        <v>174825</v>
      </c>
    </row>
    <row r="9" s="20" customFormat="1" spans="1:40">
      <c r="A9" s="20" t="str">
        <f>'伤害统计(理想)'!A9</f>
        <v>五方行尽</v>
      </c>
      <c r="B9" s="20">
        <f>'伤害统计(理想)'!B9</f>
        <v>51</v>
      </c>
      <c r="C9" s="20">
        <f>'伤害统计(理想)'!C9</f>
        <v>34400</v>
      </c>
      <c r="D9" s="20">
        <f>'伤害统计(理想)'!D9</f>
        <v>45792</v>
      </c>
      <c r="E9" s="20">
        <f>'伤害统计(理想)'!E9</f>
        <v>0.5453</v>
      </c>
      <c r="F9" s="20">
        <f>'伤害统计(理想)'!F9</f>
        <v>1</v>
      </c>
      <c r="G9" s="20">
        <f>'伤害统计(理想)'!G9</f>
        <v>0</v>
      </c>
      <c r="H9" s="20">
        <f>'伤害统计(理想)'!H9</f>
        <v>0</v>
      </c>
      <c r="I9" s="20">
        <f>'伤害统计(理想)'!I9</f>
        <v>0.05</v>
      </c>
      <c r="J9" s="20">
        <f>'伤害统计(理想)'!J9</f>
        <v>0.472</v>
      </c>
      <c r="K9" s="20">
        <f>'伤害统计(理想)'!K9</f>
        <v>0.1181</v>
      </c>
      <c r="L9" s="20">
        <f>'伤害统计(理想)'!L9</f>
        <v>0.177214436704937</v>
      </c>
      <c r="M9" s="20">
        <f>'伤害统计(理想)'!M9</f>
        <v>0.3473</v>
      </c>
      <c r="N9" s="20">
        <f>'伤害统计(理想)'!N9</f>
        <v>0.2</v>
      </c>
      <c r="O9" s="8">
        <f>O2</f>
        <v>0.501765</v>
      </c>
      <c r="P9" s="20">
        <f>'伤害统计(理想)'!P9</f>
        <v>0</v>
      </c>
      <c r="Q9" s="20">
        <f t="shared" si="11"/>
        <v>0.501765</v>
      </c>
      <c r="R9" s="20">
        <f>'伤害统计(理想)'!R9</f>
        <v>0.2441</v>
      </c>
      <c r="S9" s="20">
        <f t="shared" si="12"/>
        <v>0.745865</v>
      </c>
      <c r="T9" s="20">
        <f>'伤害统计(理想)'!T9</f>
        <v>2.0895</v>
      </c>
      <c r="U9" s="20">
        <f>'伤害统计(理想)'!U9</f>
        <v>0</v>
      </c>
      <c r="V9" s="20">
        <f>'伤害统计(理想)'!V9</f>
        <v>2.0895</v>
      </c>
      <c r="W9" s="20">
        <f>'伤害统计(理想)'!W9</f>
        <v>0.2441</v>
      </c>
      <c r="X9" s="20">
        <f>'伤害统计(理想)'!X9</f>
        <v>2.3336</v>
      </c>
      <c r="Y9" s="20">
        <f>'伤害统计(理想)'!Y9</f>
        <v>0.2441</v>
      </c>
      <c r="Z9" s="20">
        <f>'伤害统计(理想)'!Z9</f>
        <v>2.3336</v>
      </c>
      <c r="AA9" s="20">
        <f>'伤害统计(理想)'!AA9</f>
        <v>0.1953</v>
      </c>
      <c r="AB9" s="20">
        <f>'伤害统计(理想)'!AB9</f>
        <v>2.5289</v>
      </c>
      <c r="AC9" s="20">
        <f t="shared" si="0"/>
        <v>34295</v>
      </c>
      <c r="AD9" s="20">
        <f t="shared" si="1"/>
        <v>47152</v>
      </c>
      <c r="AE9" s="20">
        <f t="shared" si="2"/>
        <v>50935</v>
      </c>
      <c r="AF9" s="20">
        <f t="shared" si="3"/>
        <v>71659</v>
      </c>
      <c r="AG9" s="20">
        <f t="shared" si="4"/>
        <v>110033</v>
      </c>
      <c r="AH9" s="20">
        <f t="shared" si="13"/>
        <v>129048</v>
      </c>
      <c r="AI9" s="20">
        <f t="shared" si="5"/>
        <v>40724</v>
      </c>
      <c r="AJ9" s="20">
        <f t="shared" si="6"/>
        <v>95033</v>
      </c>
      <c r="AK9" s="20">
        <f t="shared" si="7"/>
        <v>43991</v>
      </c>
      <c r="AL9" s="20">
        <f t="shared" si="8"/>
        <v>102657</v>
      </c>
      <c r="AM9" s="20">
        <f t="shared" si="9"/>
        <v>119242</v>
      </c>
      <c r="AN9" s="20">
        <f t="shared" si="10"/>
        <v>128809</v>
      </c>
    </row>
    <row r="10" spans="1:40">
      <c r="A10" s="20" t="str">
        <f>'伤害统计(理想)'!A10</f>
        <v>四象轮回</v>
      </c>
      <c r="B10" s="20">
        <f>'伤害统计(理想)'!B10</f>
        <v>1000</v>
      </c>
      <c r="C10" s="20">
        <f>'伤害统计(理想)'!C10</f>
        <v>34400</v>
      </c>
      <c r="D10" s="20">
        <f>'伤害统计(理想)'!D10</f>
        <v>45792</v>
      </c>
      <c r="E10" s="20">
        <f>'伤害统计(理想)'!E10</f>
        <v>2.29640625</v>
      </c>
      <c r="F10" s="20">
        <f>'伤害统计(理想)'!F10</f>
        <v>1</v>
      </c>
      <c r="G10" s="20">
        <f>'伤害统计(理想)'!G10</f>
        <v>0</v>
      </c>
      <c r="H10" s="20">
        <f>'伤害统计(理想)'!H10</f>
        <v>0.2</v>
      </c>
      <c r="I10" s="20">
        <f>'伤害统计(理想)'!I10</f>
        <v>0.05</v>
      </c>
      <c r="J10" s="20">
        <f>'伤害统计(理想)'!J10</f>
        <v>0.472</v>
      </c>
      <c r="K10" s="20">
        <f>'伤害统计(理想)'!K10</f>
        <v>0.1181</v>
      </c>
      <c r="L10" s="20">
        <f>'伤害统计(理想)'!L10</f>
        <v>0.177214436704937</v>
      </c>
      <c r="M10" s="20">
        <f>'伤害统计(理想)'!M10</f>
        <v>0.3473</v>
      </c>
      <c r="N10" s="20">
        <f>'伤害统计(理想)'!N10</f>
        <v>0.2</v>
      </c>
      <c r="O10" s="8">
        <f>O2</f>
        <v>0.501765</v>
      </c>
      <c r="P10" s="20">
        <f>'伤害统计(理想)'!P10</f>
        <v>0.17</v>
      </c>
      <c r="Q10" s="20">
        <f t="shared" si="11"/>
        <v>0.671765</v>
      </c>
      <c r="R10" s="20">
        <f>'伤害统计(理想)'!R10</f>
        <v>0.2441</v>
      </c>
      <c r="S10" s="20">
        <f t="shared" si="12"/>
        <v>0.915865</v>
      </c>
      <c r="T10" s="20">
        <f>'伤害统计(理想)'!T10</f>
        <v>2.0895</v>
      </c>
      <c r="U10" s="20">
        <f>'伤害统计(理想)'!U10</f>
        <v>0.1</v>
      </c>
      <c r="V10" s="20">
        <f>'伤害统计(理想)'!V10</f>
        <v>2.1895</v>
      </c>
      <c r="W10" s="20">
        <f>'伤害统计(理想)'!W10</f>
        <v>0.2441</v>
      </c>
      <c r="X10" s="20">
        <f>'伤害统计(理想)'!X10</f>
        <v>2.4336</v>
      </c>
      <c r="Y10" s="20">
        <f>'伤害统计(理想)'!Y10</f>
        <v>0.2441</v>
      </c>
      <c r="Z10" s="20">
        <f>'伤害统计(理想)'!Z10</f>
        <v>2.4336</v>
      </c>
      <c r="AA10" s="20">
        <f>'伤害统计(理想)'!AA10</f>
        <v>0.1953</v>
      </c>
      <c r="AB10" s="20">
        <f>'伤害统计(理想)'!AB10</f>
        <v>2.6289</v>
      </c>
      <c r="AC10" s="20">
        <f t="shared" si="0"/>
        <v>174609</v>
      </c>
      <c r="AD10" s="20">
        <f t="shared" si="1"/>
        <v>239577</v>
      </c>
      <c r="AE10" s="20">
        <f t="shared" si="2"/>
        <v>258798</v>
      </c>
      <c r="AF10" s="20">
        <f t="shared" si="3"/>
        <v>382306</v>
      </c>
      <c r="AG10" s="20">
        <f t="shared" si="4"/>
        <v>583034</v>
      </c>
      <c r="AH10" s="20">
        <f t="shared" si="13"/>
        <v>681570</v>
      </c>
      <c r="AI10" s="20">
        <f t="shared" si="5"/>
        <v>207093</v>
      </c>
      <c r="AJ10" s="20">
        <f t="shared" si="6"/>
        <v>503981</v>
      </c>
      <c r="AK10" s="20">
        <f t="shared" si="7"/>
        <v>223708</v>
      </c>
      <c r="AL10" s="20">
        <f t="shared" si="8"/>
        <v>544415</v>
      </c>
      <c r="AM10" s="20">
        <f t="shared" si="9"/>
        <v>629823</v>
      </c>
      <c r="AN10" s="20">
        <f t="shared" si="10"/>
        <v>680354</v>
      </c>
    </row>
    <row r="11" spans="1:40">
      <c r="A11" s="20" t="str">
        <f>'伤害统计(理想)'!A11</f>
        <v>两仪化形</v>
      </c>
      <c r="B11" s="20">
        <f>'伤害统计(理想)'!B11</f>
        <v>2739</v>
      </c>
      <c r="C11" s="20">
        <f>'伤害统计(理想)'!C11</f>
        <v>34400</v>
      </c>
      <c r="D11" s="20">
        <f>'伤害统计(理想)'!D11</f>
        <v>45792</v>
      </c>
      <c r="E11" s="20">
        <f>'伤害统计(理想)'!E11</f>
        <v>2.000625</v>
      </c>
      <c r="F11" s="20">
        <f>'伤害统计(理想)'!F11</f>
        <v>1</v>
      </c>
      <c r="G11" s="20">
        <f>'伤害统计(理想)'!G11</f>
        <v>0.09</v>
      </c>
      <c r="H11" s="20">
        <f>'伤害统计(理想)'!H11</f>
        <v>0.2</v>
      </c>
      <c r="I11" s="20">
        <f>'伤害统计(理想)'!I11</f>
        <v>0.05</v>
      </c>
      <c r="J11" s="20">
        <f>'伤害统计(理想)'!J11</f>
        <v>0.472</v>
      </c>
      <c r="K11" s="20">
        <f>'伤害统计(理想)'!K11</f>
        <v>0.1181</v>
      </c>
      <c r="L11" s="20">
        <f>'伤害统计(理想)'!L11</f>
        <v>0.177214436704937</v>
      </c>
      <c r="M11" s="20">
        <f>'伤害统计(理想)'!M11</f>
        <v>0.3473</v>
      </c>
      <c r="N11" s="20">
        <f>'伤害统计(理想)'!N11</f>
        <v>0.2</v>
      </c>
      <c r="O11" s="8">
        <f>O2</f>
        <v>0.501765</v>
      </c>
      <c r="P11" s="20">
        <f>'伤害统计(理想)'!P11</f>
        <v>0.04</v>
      </c>
      <c r="Q11" s="20">
        <f t="shared" si="11"/>
        <v>0.541765</v>
      </c>
      <c r="R11" s="20">
        <f>'伤害统计(理想)'!R11</f>
        <v>0.2441</v>
      </c>
      <c r="S11" s="20">
        <f t="shared" si="12"/>
        <v>0.785865</v>
      </c>
      <c r="T11" s="20">
        <f>'伤害统计(理想)'!T11</f>
        <v>2.0895</v>
      </c>
      <c r="U11" s="20">
        <f>'伤害统计(理想)'!U11</f>
        <v>0</v>
      </c>
      <c r="V11" s="20">
        <f>'伤害统计(理想)'!V11</f>
        <v>2.0895</v>
      </c>
      <c r="W11" s="20">
        <f>'伤害统计(理想)'!W11</f>
        <v>0.2441</v>
      </c>
      <c r="X11" s="20">
        <f>'伤害统计(理想)'!X11</f>
        <v>2.3336</v>
      </c>
      <c r="Y11" s="20">
        <f>'伤害统计(理想)'!Y11</f>
        <v>0.2441</v>
      </c>
      <c r="Z11" s="20">
        <f>'伤害统计(理想)'!Z11</f>
        <v>2.3336</v>
      </c>
      <c r="AA11" s="20">
        <f>'伤害统计(理想)'!AA11</f>
        <v>0.1953</v>
      </c>
      <c r="AB11" s="20">
        <f>'伤害统计(理想)'!AB11</f>
        <v>2.5289</v>
      </c>
      <c r="AC11" s="20">
        <f t="shared" si="0"/>
        <v>166830</v>
      </c>
      <c r="AD11" s="20">
        <f t="shared" si="1"/>
        <v>227675</v>
      </c>
      <c r="AE11" s="20">
        <f t="shared" si="2"/>
        <v>245942</v>
      </c>
      <c r="AF11" s="20">
        <f t="shared" si="3"/>
        <v>348591</v>
      </c>
      <c r="AG11" s="20">
        <f t="shared" si="4"/>
        <v>531302</v>
      </c>
      <c r="AH11" s="20">
        <f t="shared" si="13"/>
        <v>623118</v>
      </c>
      <c r="AI11" s="20">
        <f t="shared" si="5"/>
        <v>197253</v>
      </c>
      <c r="AJ11" s="20">
        <f t="shared" si="6"/>
        <v>460309</v>
      </c>
      <c r="AK11" s="20">
        <f t="shared" si="7"/>
        <v>213079</v>
      </c>
      <c r="AL11" s="20">
        <f t="shared" si="8"/>
        <v>497241</v>
      </c>
      <c r="AM11" s="20">
        <f t="shared" si="9"/>
        <v>575767</v>
      </c>
      <c r="AN11" s="20">
        <f t="shared" si="10"/>
        <v>621962</v>
      </c>
    </row>
    <row r="12" spans="1:40">
      <c r="A12" s="20" t="str">
        <f>'伤害统计(理想)'!A12</f>
        <v>两仪化形(4</v>
      </c>
      <c r="B12" s="20">
        <f>'伤害统计(理想)'!B12</f>
        <v>2466</v>
      </c>
      <c r="C12" s="20">
        <f>'伤害统计(理想)'!C12</f>
        <v>34400</v>
      </c>
      <c r="D12" s="20">
        <f>'伤害统计(理想)'!D12</f>
        <v>45792</v>
      </c>
      <c r="E12" s="20">
        <f>'伤害统计(理想)'!E12</f>
        <v>1.654186908</v>
      </c>
      <c r="F12" s="20">
        <f>'伤害统计(理想)'!F12</f>
        <v>1</v>
      </c>
      <c r="G12" s="20">
        <f>'伤害统计(理想)'!G12</f>
        <v>0.09</v>
      </c>
      <c r="H12" s="20">
        <f>'伤害统计(理想)'!H12</f>
        <v>0.2</v>
      </c>
      <c r="I12" s="20">
        <f>'伤害统计(理想)'!I12</f>
        <v>0.05</v>
      </c>
      <c r="J12" s="20">
        <f>'伤害统计(理想)'!J12</f>
        <v>0.472</v>
      </c>
      <c r="K12" s="20">
        <f>'伤害统计(理想)'!K12</f>
        <v>0.1181</v>
      </c>
      <c r="L12" s="20">
        <f>'伤害统计(理想)'!L12</f>
        <v>0.177214436704937</v>
      </c>
      <c r="M12" s="20">
        <f>'伤害统计(理想)'!M12</f>
        <v>0.3473</v>
      </c>
      <c r="N12" s="20">
        <f>'伤害统计(理想)'!N12</f>
        <v>0.2</v>
      </c>
      <c r="O12" s="8">
        <f>O2</f>
        <v>0.501765</v>
      </c>
      <c r="P12" s="20">
        <f>'伤害统计(理想)'!P12</f>
        <v>0.04</v>
      </c>
      <c r="Q12" s="20">
        <f t="shared" si="11"/>
        <v>0.541765</v>
      </c>
      <c r="R12" s="20">
        <f>'伤害统计(理想)'!R12</f>
        <v>0.2441</v>
      </c>
      <c r="S12" s="20">
        <f t="shared" si="12"/>
        <v>0.785865</v>
      </c>
      <c r="T12" s="20">
        <f>'伤害统计(理想)'!T12</f>
        <v>2.0895</v>
      </c>
      <c r="U12" s="20">
        <f>'伤害统计(理想)'!U12</f>
        <v>0</v>
      </c>
      <c r="V12" s="20">
        <f>'伤害统计(理想)'!V12</f>
        <v>2.0895</v>
      </c>
      <c r="W12" s="20">
        <f>'伤害统计(理想)'!W12</f>
        <v>0.2441</v>
      </c>
      <c r="X12" s="20">
        <f>'伤害统计(理想)'!X12</f>
        <v>2.3336</v>
      </c>
      <c r="Y12" s="20">
        <f>'伤害统计(理想)'!Y12</f>
        <v>0.2441</v>
      </c>
      <c r="Z12" s="20">
        <f>'伤害统计(理想)'!Z12</f>
        <v>2.3336</v>
      </c>
      <c r="AA12" s="20">
        <f>'伤害统计(理想)'!AA12</f>
        <v>0.1953</v>
      </c>
      <c r="AB12" s="20">
        <f>'伤害统计(理想)'!AB12</f>
        <v>2.5289</v>
      </c>
      <c r="AC12" s="20">
        <f t="shared" si="0"/>
        <v>138296</v>
      </c>
      <c r="AD12" s="20">
        <f t="shared" si="1"/>
        <v>188606</v>
      </c>
      <c r="AE12" s="20">
        <f t="shared" si="2"/>
        <v>203738</v>
      </c>
      <c r="AF12" s="20">
        <f t="shared" si="3"/>
        <v>288969</v>
      </c>
      <c r="AG12" s="20">
        <f t="shared" si="4"/>
        <v>440130</v>
      </c>
      <c r="AH12" s="20">
        <f t="shared" si="13"/>
        <v>516190</v>
      </c>
      <c r="AI12" s="20">
        <f t="shared" si="5"/>
        <v>163451</v>
      </c>
      <c r="AJ12" s="20">
        <f t="shared" si="6"/>
        <v>381429</v>
      </c>
      <c r="AK12" s="20">
        <f t="shared" si="7"/>
        <v>176565</v>
      </c>
      <c r="AL12" s="20">
        <f t="shared" si="8"/>
        <v>412032</v>
      </c>
      <c r="AM12" s="20">
        <f t="shared" si="9"/>
        <v>476965</v>
      </c>
      <c r="AN12" s="20">
        <f t="shared" si="10"/>
        <v>515233</v>
      </c>
    </row>
    <row r="13" spans="1:40">
      <c r="A13" s="20" t="str">
        <f>'伤害统计(理想)'!A13</f>
        <v>两仪化形(3.5</v>
      </c>
      <c r="B13" s="20">
        <f>'伤害统计(理想)'!B13</f>
        <v>2191</v>
      </c>
      <c r="C13" s="20">
        <f>'伤害统计(理想)'!C13</f>
        <v>34400</v>
      </c>
      <c r="D13" s="20">
        <f>'伤害统计(理想)'!D13</f>
        <v>45792</v>
      </c>
      <c r="E13" s="20">
        <f>'伤害统计(理想)'!E13</f>
        <v>1.4586550308</v>
      </c>
      <c r="F13" s="20">
        <f>'伤害统计(理想)'!F13</f>
        <v>1</v>
      </c>
      <c r="G13" s="20">
        <f>'伤害统计(理想)'!G13</f>
        <v>0.09</v>
      </c>
      <c r="H13" s="20">
        <f>'伤害统计(理想)'!H13</f>
        <v>0.2</v>
      </c>
      <c r="I13" s="20">
        <f>'伤害统计(理想)'!I13</f>
        <v>0.05</v>
      </c>
      <c r="J13" s="20">
        <f>'伤害统计(理想)'!J13</f>
        <v>0.472</v>
      </c>
      <c r="K13" s="20">
        <f>'伤害统计(理想)'!K13</f>
        <v>0.1181</v>
      </c>
      <c r="L13" s="20">
        <f>'伤害统计(理想)'!L13</f>
        <v>0.177214436704937</v>
      </c>
      <c r="M13" s="20">
        <f>'伤害统计(理想)'!M13</f>
        <v>0.3473</v>
      </c>
      <c r="N13" s="20">
        <f>'伤害统计(理想)'!N13</f>
        <v>0.2</v>
      </c>
      <c r="O13" s="8">
        <f>O2</f>
        <v>0.501765</v>
      </c>
      <c r="P13" s="20">
        <f>'伤害统计(理想)'!P13</f>
        <v>0.04</v>
      </c>
      <c r="Q13" s="20">
        <f t="shared" si="11"/>
        <v>0.541765</v>
      </c>
      <c r="R13" s="20">
        <f>'伤害统计(理想)'!R13</f>
        <v>0.2441</v>
      </c>
      <c r="S13" s="20">
        <f t="shared" si="12"/>
        <v>0.785865</v>
      </c>
      <c r="T13" s="20">
        <f>'伤害统计(理想)'!T13</f>
        <v>2.0895</v>
      </c>
      <c r="U13" s="20">
        <f>'伤害统计(理想)'!U13</f>
        <v>0</v>
      </c>
      <c r="V13" s="20">
        <f>'伤害统计(理想)'!V13</f>
        <v>2.0895</v>
      </c>
      <c r="W13" s="20">
        <f>'伤害统计(理想)'!W13</f>
        <v>0.2441</v>
      </c>
      <c r="X13" s="20">
        <f>'伤害统计(理想)'!X13</f>
        <v>2.3336</v>
      </c>
      <c r="Y13" s="20">
        <f>'伤害统计(理想)'!Y13</f>
        <v>0.2441</v>
      </c>
      <c r="Z13" s="20">
        <f>'伤害统计(理想)'!Z13</f>
        <v>2.3336</v>
      </c>
      <c r="AA13" s="20">
        <f>'伤害统计(理想)'!AA13</f>
        <v>0.1953</v>
      </c>
      <c r="AB13" s="20">
        <f>'伤害统计(理想)'!AB13</f>
        <v>2.5289</v>
      </c>
      <c r="AC13" s="20">
        <f t="shared" si="0"/>
        <v>121978</v>
      </c>
      <c r="AD13" s="20">
        <f t="shared" si="1"/>
        <v>166341</v>
      </c>
      <c r="AE13" s="20">
        <f t="shared" si="2"/>
        <v>179687</v>
      </c>
      <c r="AF13" s="20">
        <f t="shared" si="3"/>
        <v>254873</v>
      </c>
      <c r="AG13" s="20">
        <f t="shared" si="4"/>
        <v>388173</v>
      </c>
      <c r="AH13" s="20">
        <f t="shared" si="13"/>
        <v>455254</v>
      </c>
      <c r="AI13" s="20">
        <f t="shared" si="5"/>
        <v>144160</v>
      </c>
      <c r="AJ13" s="20">
        <f t="shared" si="6"/>
        <v>336411</v>
      </c>
      <c r="AK13" s="20">
        <f t="shared" si="7"/>
        <v>155726</v>
      </c>
      <c r="AL13" s="20">
        <f t="shared" si="8"/>
        <v>363402</v>
      </c>
      <c r="AM13" s="20">
        <f t="shared" si="9"/>
        <v>420659</v>
      </c>
      <c r="AN13" s="20">
        <f t="shared" si="10"/>
        <v>454410</v>
      </c>
    </row>
    <row r="14" spans="1:40">
      <c r="A14" s="20" t="str">
        <f>'伤害统计(理想)'!A14</f>
        <v>六合1</v>
      </c>
      <c r="B14" s="20">
        <f>'伤害统计(理想)'!B14</f>
        <v>90</v>
      </c>
      <c r="C14" s="20">
        <f>'伤害统计(理想)'!C14</f>
        <v>34400</v>
      </c>
      <c r="D14" s="20">
        <f>'伤害统计(理想)'!D14</f>
        <v>45792</v>
      </c>
      <c r="E14" s="20">
        <f>'伤害统计(理想)'!E14</f>
        <v>0.854167</v>
      </c>
      <c r="F14" s="20">
        <f>'伤害统计(理想)'!F14</f>
        <v>1</v>
      </c>
      <c r="G14" s="20">
        <f>'伤害统计(理想)'!G14</f>
        <v>0</v>
      </c>
      <c r="H14" s="20">
        <f>'伤害统计(理想)'!H14</f>
        <v>0</v>
      </c>
      <c r="I14" s="20">
        <f>'伤害统计(理想)'!I14</f>
        <v>0.05</v>
      </c>
      <c r="J14" s="20">
        <f>'伤害统计(理想)'!J14</f>
        <v>0.472</v>
      </c>
      <c r="K14" s="20">
        <f>'伤害统计(理想)'!K14</f>
        <v>0.1181</v>
      </c>
      <c r="L14" s="20">
        <f>'伤害统计(理想)'!L14</f>
        <v>0.177214436704937</v>
      </c>
      <c r="M14" s="20">
        <f>'伤害统计(理想)'!M14</f>
        <v>0.3473</v>
      </c>
      <c r="N14" s="20">
        <f>'伤害统计(理想)'!N14</f>
        <v>0.2</v>
      </c>
      <c r="O14" s="8">
        <f>O2</f>
        <v>0.501765</v>
      </c>
      <c r="P14" s="20">
        <f>'伤害统计(理想)'!P14</f>
        <v>0</v>
      </c>
      <c r="Q14" s="20">
        <f t="shared" si="11"/>
        <v>0.501765</v>
      </c>
      <c r="R14" s="20">
        <f>'伤害统计(理想)'!R14</f>
        <v>0.2441</v>
      </c>
      <c r="S14" s="20">
        <f t="shared" si="12"/>
        <v>0.745865</v>
      </c>
      <c r="T14" s="20">
        <f>'伤害统计(理想)'!T14</f>
        <v>2.0895</v>
      </c>
      <c r="U14" s="20">
        <f>'伤害统计(理想)'!U14</f>
        <v>0</v>
      </c>
      <c r="V14" s="20">
        <f>'伤害统计(理想)'!V14</f>
        <v>2.0895</v>
      </c>
      <c r="W14" s="20">
        <f>'伤害统计(理想)'!W14</f>
        <v>0.2441</v>
      </c>
      <c r="X14" s="20">
        <f>'伤害统计(理想)'!X14</f>
        <v>2.3336</v>
      </c>
      <c r="Y14" s="20">
        <f>'伤害统计(理想)'!Y14</f>
        <v>0.2441</v>
      </c>
      <c r="Z14" s="20">
        <f>'伤害统计(理想)'!Z14</f>
        <v>2.3336</v>
      </c>
      <c r="AA14" s="20">
        <f>'伤害统计(理想)'!AA14</f>
        <v>0.1953</v>
      </c>
      <c r="AB14" s="20">
        <f>'伤害统计(理想)'!AB14</f>
        <v>2.5289</v>
      </c>
      <c r="AC14" s="20">
        <f t="shared" si="0"/>
        <v>53736</v>
      </c>
      <c r="AD14" s="20">
        <f t="shared" si="1"/>
        <v>73874</v>
      </c>
      <c r="AE14" s="20">
        <f t="shared" si="2"/>
        <v>79801</v>
      </c>
      <c r="AF14" s="20">
        <f t="shared" si="3"/>
        <v>112281</v>
      </c>
      <c r="AG14" s="20">
        <f t="shared" si="4"/>
        <v>172392</v>
      </c>
      <c r="AH14" s="20">
        <f t="shared" si="13"/>
        <v>202183</v>
      </c>
      <c r="AI14" s="20">
        <f t="shared" si="5"/>
        <v>63805</v>
      </c>
      <c r="AJ14" s="20">
        <f t="shared" si="6"/>
        <v>148895</v>
      </c>
      <c r="AK14" s="20">
        <f t="shared" si="7"/>
        <v>68924</v>
      </c>
      <c r="AL14" s="20">
        <f t="shared" si="8"/>
        <v>160841</v>
      </c>
      <c r="AM14" s="20">
        <f t="shared" si="9"/>
        <v>186819</v>
      </c>
      <c r="AN14" s="20">
        <f t="shared" si="10"/>
        <v>201808</v>
      </c>
    </row>
    <row r="15" spans="1:40">
      <c r="A15" s="20" t="str">
        <f>'伤害统计(理想)'!A15</f>
        <v>六合2</v>
      </c>
      <c r="B15" s="20">
        <f>'伤害统计(理想)'!B15</f>
        <v>90</v>
      </c>
      <c r="C15" s="20">
        <f>'伤害统计(理想)'!C15</f>
        <v>34400</v>
      </c>
      <c r="D15" s="20">
        <f>'伤害统计(理想)'!D15</f>
        <v>45792</v>
      </c>
      <c r="E15" s="20">
        <f>'伤害统计(理想)'!E15</f>
        <v>0.854167</v>
      </c>
      <c r="F15" s="20">
        <f>'伤害统计(理想)'!F15</f>
        <v>1</v>
      </c>
      <c r="G15" s="20">
        <f>'伤害统计(理想)'!G15</f>
        <v>0</v>
      </c>
      <c r="H15" s="20">
        <f>'伤害统计(理想)'!H15</f>
        <v>0.35</v>
      </c>
      <c r="I15" s="20">
        <f>'伤害统计(理想)'!I15</f>
        <v>0.05</v>
      </c>
      <c r="J15" s="20">
        <f>'伤害统计(理想)'!J15</f>
        <v>0.472</v>
      </c>
      <c r="K15" s="20">
        <f>'伤害统计(理想)'!K15</f>
        <v>0.1181</v>
      </c>
      <c r="L15" s="20">
        <f>'伤害统计(理想)'!L15</f>
        <v>0.177214436704937</v>
      </c>
      <c r="M15" s="20">
        <f>'伤害统计(理想)'!M15</f>
        <v>0.3473</v>
      </c>
      <c r="N15" s="20">
        <f>'伤害统计(理想)'!N15</f>
        <v>0.2</v>
      </c>
      <c r="O15" s="8">
        <f>O2</f>
        <v>0.501765</v>
      </c>
      <c r="P15" s="20">
        <f>'伤害统计(理想)'!P15</f>
        <v>0</v>
      </c>
      <c r="Q15" s="20">
        <f t="shared" si="11"/>
        <v>0.501765</v>
      </c>
      <c r="R15" s="20">
        <f>'伤害统计(理想)'!R15</f>
        <v>0.2441</v>
      </c>
      <c r="S15" s="20">
        <f t="shared" si="12"/>
        <v>0.745865</v>
      </c>
      <c r="T15" s="20">
        <f>'伤害统计(理想)'!T15</f>
        <v>2.0895</v>
      </c>
      <c r="U15" s="20">
        <f>'伤害统计(理想)'!U15</f>
        <v>0</v>
      </c>
      <c r="V15" s="20">
        <f>'伤害统计(理想)'!V15</f>
        <v>2.0895</v>
      </c>
      <c r="W15" s="20">
        <f>'伤害统计(理想)'!W15</f>
        <v>0.2441</v>
      </c>
      <c r="X15" s="20">
        <f>'伤害统计(理想)'!X15</f>
        <v>2.3336</v>
      </c>
      <c r="Y15" s="20">
        <f>'伤害统计(理想)'!Y15</f>
        <v>0.2441</v>
      </c>
      <c r="Z15" s="20">
        <f>'伤害统计(理想)'!Z15</f>
        <v>2.3336</v>
      </c>
      <c r="AA15" s="20">
        <f>'伤害统计(理想)'!AA15</f>
        <v>0.1953</v>
      </c>
      <c r="AB15" s="20">
        <f>'伤害统计(理想)'!AB15</f>
        <v>2.5289</v>
      </c>
      <c r="AC15" s="20">
        <f t="shared" si="0"/>
        <v>72544</v>
      </c>
      <c r="AD15" s="20">
        <f t="shared" si="1"/>
        <v>99730</v>
      </c>
      <c r="AE15" s="20">
        <f t="shared" si="2"/>
        <v>107731</v>
      </c>
      <c r="AF15" s="20">
        <f t="shared" si="3"/>
        <v>151580</v>
      </c>
      <c r="AG15" s="20">
        <f t="shared" si="4"/>
        <v>232729</v>
      </c>
      <c r="AH15" s="20">
        <f>INT(AE15*(T15+U15+0.4441+按提示输入属性!D64*0.1953))</f>
        <v>293987</v>
      </c>
      <c r="AI15" s="20">
        <f t="shared" si="5"/>
        <v>86137</v>
      </c>
      <c r="AJ15" s="20">
        <f t="shared" si="6"/>
        <v>201009</v>
      </c>
      <c r="AK15" s="20">
        <f t="shared" si="7"/>
        <v>93047</v>
      </c>
      <c r="AL15" s="20">
        <f t="shared" si="8"/>
        <v>217134</v>
      </c>
      <c r="AM15" s="20">
        <f t="shared" si="9"/>
        <v>252207</v>
      </c>
      <c r="AN15" s="20">
        <f t="shared" si="10"/>
        <v>272440</v>
      </c>
    </row>
    <row r="16" spans="1:40">
      <c r="A16" s="20" t="str">
        <f>'伤害统计(理想)'!A16</f>
        <v>六合3</v>
      </c>
      <c r="B16" s="20">
        <f>'伤害统计(理想)'!B16</f>
        <v>90</v>
      </c>
      <c r="C16" s="20">
        <f>'伤害统计(理想)'!C16</f>
        <v>34400</v>
      </c>
      <c r="D16" s="20">
        <f>'伤害统计(理想)'!D16</f>
        <v>45792</v>
      </c>
      <c r="E16" s="20">
        <f>'伤害统计(理想)'!E16</f>
        <v>0.854167</v>
      </c>
      <c r="F16" s="20">
        <f>'伤害统计(理想)'!F16</f>
        <v>1</v>
      </c>
      <c r="G16" s="20">
        <f>'伤害统计(理想)'!G16</f>
        <v>0</v>
      </c>
      <c r="H16" s="20">
        <f>'伤害统计(理想)'!H16</f>
        <v>0.7</v>
      </c>
      <c r="I16" s="20">
        <f>'伤害统计(理想)'!I16</f>
        <v>0.05</v>
      </c>
      <c r="J16" s="20">
        <f>'伤害统计(理想)'!J16</f>
        <v>0.472</v>
      </c>
      <c r="K16" s="20">
        <f>'伤害统计(理想)'!K16</f>
        <v>0.1181</v>
      </c>
      <c r="L16" s="20">
        <f>'伤害统计(理想)'!L16</f>
        <v>0.177214436704937</v>
      </c>
      <c r="M16" s="20">
        <f>'伤害统计(理想)'!M16</f>
        <v>0.3473</v>
      </c>
      <c r="N16" s="20">
        <f>'伤害统计(理想)'!N16</f>
        <v>0.2</v>
      </c>
      <c r="O16" s="8">
        <f>O2</f>
        <v>0.501765</v>
      </c>
      <c r="P16" s="20">
        <f>'伤害统计(理想)'!P16</f>
        <v>0</v>
      </c>
      <c r="Q16" s="20">
        <f t="shared" si="11"/>
        <v>0.501765</v>
      </c>
      <c r="R16" s="20">
        <f>'伤害统计(理想)'!R16</f>
        <v>0.2441</v>
      </c>
      <c r="S16" s="20">
        <f t="shared" si="12"/>
        <v>0.745865</v>
      </c>
      <c r="T16" s="20">
        <f>'伤害统计(理想)'!T16</f>
        <v>2.0895</v>
      </c>
      <c r="U16" s="20">
        <f>'伤害统计(理想)'!U16</f>
        <v>0</v>
      </c>
      <c r="V16" s="20">
        <f>'伤害统计(理想)'!V16</f>
        <v>2.0895</v>
      </c>
      <c r="W16" s="20">
        <f>'伤害统计(理想)'!W16</f>
        <v>0.2441</v>
      </c>
      <c r="X16" s="20">
        <f>'伤害统计(理想)'!X16</f>
        <v>2.3336</v>
      </c>
      <c r="Y16" s="20">
        <f>'伤害统计(理想)'!Y16</f>
        <v>0.2441</v>
      </c>
      <c r="Z16" s="20">
        <f>'伤害统计(理想)'!Z16</f>
        <v>2.3336</v>
      </c>
      <c r="AA16" s="20">
        <f>'伤害统计(理想)'!AA16</f>
        <v>0.1953</v>
      </c>
      <c r="AB16" s="20">
        <f>'伤害统计(理想)'!AB16</f>
        <v>2.5289</v>
      </c>
      <c r="AC16" s="20">
        <f t="shared" si="0"/>
        <v>91351</v>
      </c>
      <c r="AD16" s="20">
        <f t="shared" si="1"/>
        <v>125585</v>
      </c>
      <c r="AE16" s="20">
        <f t="shared" si="2"/>
        <v>135661</v>
      </c>
      <c r="AF16" s="20">
        <f t="shared" si="3"/>
        <v>190877</v>
      </c>
      <c r="AG16" s="20">
        <f t="shared" si="4"/>
        <v>293065</v>
      </c>
      <c r="AH16" s="20">
        <f>INT(AE16*(T16+U16+0.4441+按提示输入属性!D64*0.1953))</f>
        <v>370205</v>
      </c>
      <c r="AI16" s="20">
        <f t="shared" si="5"/>
        <v>108468</v>
      </c>
      <c r="AJ16" s="20">
        <f t="shared" si="6"/>
        <v>253120</v>
      </c>
      <c r="AK16" s="20">
        <f t="shared" si="7"/>
        <v>117171</v>
      </c>
      <c r="AL16" s="20">
        <f t="shared" si="8"/>
        <v>273430</v>
      </c>
      <c r="AM16" s="20">
        <f t="shared" si="9"/>
        <v>317591</v>
      </c>
      <c r="AN16" s="20">
        <f t="shared" si="10"/>
        <v>343073</v>
      </c>
    </row>
    <row r="17" spans="1:40">
      <c r="A17" s="20" t="str">
        <f>'伤害统计(理想)'!A17</f>
        <v>六合4</v>
      </c>
      <c r="B17" s="20">
        <f>'伤害统计(理想)'!B17</f>
        <v>90</v>
      </c>
      <c r="C17" s="20">
        <f>'伤害统计(理想)'!C17</f>
        <v>34400</v>
      </c>
      <c r="D17" s="20">
        <f>'伤害统计(理想)'!D17</f>
        <v>45792</v>
      </c>
      <c r="E17" s="20">
        <f>'伤害统计(理想)'!E17</f>
        <v>0.854167</v>
      </c>
      <c r="F17" s="20">
        <f>'伤害统计(理想)'!F17</f>
        <v>1</v>
      </c>
      <c r="G17" s="20">
        <f>'伤害统计(理想)'!G17</f>
        <v>0</v>
      </c>
      <c r="H17" s="20">
        <f>'伤害统计(理想)'!H17</f>
        <v>1.05</v>
      </c>
      <c r="I17" s="20">
        <f>'伤害统计(理想)'!I17</f>
        <v>0.05</v>
      </c>
      <c r="J17" s="20">
        <f>'伤害统计(理想)'!J17</f>
        <v>0.472</v>
      </c>
      <c r="K17" s="20">
        <f>'伤害统计(理想)'!K17</f>
        <v>0.1181</v>
      </c>
      <c r="L17" s="20">
        <f>'伤害统计(理想)'!L17</f>
        <v>0.177214436704937</v>
      </c>
      <c r="M17" s="20">
        <f>'伤害统计(理想)'!M17</f>
        <v>0.3473</v>
      </c>
      <c r="N17" s="20">
        <f>'伤害统计(理想)'!N17</f>
        <v>0.2</v>
      </c>
      <c r="O17" s="8">
        <f>O2</f>
        <v>0.501765</v>
      </c>
      <c r="P17" s="20">
        <f>'伤害统计(理想)'!P17</f>
        <v>0</v>
      </c>
      <c r="Q17" s="20">
        <f t="shared" si="11"/>
        <v>0.501765</v>
      </c>
      <c r="R17" s="20">
        <f>'伤害统计(理想)'!R17</f>
        <v>0.2441</v>
      </c>
      <c r="S17" s="20">
        <f t="shared" si="12"/>
        <v>0.745865</v>
      </c>
      <c r="T17" s="20">
        <f>'伤害统计(理想)'!T17</f>
        <v>2.0895</v>
      </c>
      <c r="U17" s="20">
        <f>'伤害统计(理想)'!U17</f>
        <v>0</v>
      </c>
      <c r="V17" s="20">
        <f>'伤害统计(理想)'!V17</f>
        <v>2.0895</v>
      </c>
      <c r="W17" s="20">
        <f>'伤害统计(理想)'!W17</f>
        <v>0.2441</v>
      </c>
      <c r="X17" s="20">
        <f>'伤害统计(理想)'!X17</f>
        <v>2.3336</v>
      </c>
      <c r="Y17" s="20">
        <f>'伤害统计(理想)'!Y17</f>
        <v>0.2441</v>
      </c>
      <c r="Z17" s="20">
        <f>'伤害统计(理想)'!Z17</f>
        <v>2.3336</v>
      </c>
      <c r="AA17" s="20">
        <f>'伤害统计(理想)'!AA17</f>
        <v>0.1953</v>
      </c>
      <c r="AB17" s="20">
        <f>'伤害统计(理想)'!AB17</f>
        <v>2.5289</v>
      </c>
      <c r="AC17" s="20">
        <f t="shared" si="0"/>
        <v>110159</v>
      </c>
      <c r="AD17" s="20">
        <f t="shared" si="1"/>
        <v>151441</v>
      </c>
      <c r="AE17" s="20">
        <f t="shared" si="2"/>
        <v>163592</v>
      </c>
      <c r="AF17" s="20">
        <f t="shared" si="3"/>
        <v>230177</v>
      </c>
      <c r="AG17" s="20">
        <f t="shared" si="4"/>
        <v>353402</v>
      </c>
      <c r="AH17" s="20">
        <f>INT(AE17*(T17+U17+0.4441+按提示输入属性!D64*0.1953))</f>
        <v>446426</v>
      </c>
      <c r="AI17" s="20">
        <f t="shared" si="5"/>
        <v>130800</v>
      </c>
      <c r="AJ17" s="20">
        <f t="shared" si="6"/>
        <v>305234</v>
      </c>
      <c r="AK17" s="20">
        <f t="shared" si="7"/>
        <v>141295</v>
      </c>
      <c r="AL17" s="20">
        <f t="shared" si="8"/>
        <v>329726</v>
      </c>
      <c r="AM17" s="20">
        <f t="shared" si="9"/>
        <v>382979</v>
      </c>
      <c r="AN17" s="20">
        <f t="shared" si="10"/>
        <v>413707</v>
      </c>
    </row>
    <row r="18" spans="1:40">
      <c r="A18" s="20" t="str">
        <f>'伤害统计(理想)'!A18</f>
        <v>六合5</v>
      </c>
      <c r="B18" s="20">
        <f>'伤害统计(理想)'!B18</f>
        <v>90</v>
      </c>
      <c r="C18" s="20">
        <f>'伤害统计(理想)'!C18</f>
        <v>34400</v>
      </c>
      <c r="D18" s="20">
        <f>'伤害统计(理想)'!D18</f>
        <v>45792</v>
      </c>
      <c r="E18" s="20">
        <f>'伤害统计(理想)'!E18</f>
        <v>0.854167</v>
      </c>
      <c r="F18" s="20">
        <f>'伤害统计(理想)'!F18</f>
        <v>1</v>
      </c>
      <c r="G18" s="20">
        <f>'伤害统计(理想)'!G18</f>
        <v>0</v>
      </c>
      <c r="H18" s="20">
        <f>'伤害统计(理想)'!H18</f>
        <v>1.4</v>
      </c>
      <c r="I18" s="20">
        <f>'伤害统计(理想)'!I18</f>
        <v>0.05</v>
      </c>
      <c r="J18" s="20">
        <f>'伤害统计(理想)'!J18</f>
        <v>0.472</v>
      </c>
      <c r="K18" s="20">
        <f>'伤害统计(理想)'!K18</f>
        <v>0.1181</v>
      </c>
      <c r="L18" s="20">
        <f>'伤害统计(理想)'!L18</f>
        <v>0.177214436704937</v>
      </c>
      <c r="M18" s="20">
        <f>'伤害统计(理想)'!M18</f>
        <v>0.3473</v>
      </c>
      <c r="N18" s="20">
        <f>'伤害统计(理想)'!N18</f>
        <v>0.2</v>
      </c>
      <c r="O18" s="8">
        <f>O2</f>
        <v>0.501765</v>
      </c>
      <c r="P18" s="20">
        <f>'伤害统计(理想)'!P18</f>
        <v>0</v>
      </c>
      <c r="Q18" s="20">
        <f t="shared" si="11"/>
        <v>0.501765</v>
      </c>
      <c r="R18" s="20">
        <f>'伤害统计(理想)'!R18</f>
        <v>0.2441</v>
      </c>
      <c r="S18" s="20">
        <f t="shared" si="12"/>
        <v>0.745865</v>
      </c>
      <c r="T18" s="20">
        <f>'伤害统计(理想)'!T18</f>
        <v>2.0895</v>
      </c>
      <c r="U18" s="20">
        <f>'伤害统计(理想)'!U18</f>
        <v>0</v>
      </c>
      <c r="V18" s="20">
        <f>'伤害统计(理想)'!V18</f>
        <v>2.0895</v>
      </c>
      <c r="W18" s="20">
        <f>'伤害统计(理想)'!W18</f>
        <v>0.2441</v>
      </c>
      <c r="X18" s="20">
        <f>'伤害统计(理想)'!X18</f>
        <v>2.3336</v>
      </c>
      <c r="Y18" s="20">
        <f>'伤害统计(理想)'!Y18</f>
        <v>0.2441</v>
      </c>
      <c r="Z18" s="20">
        <f>'伤害统计(理想)'!Z18</f>
        <v>2.3336</v>
      </c>
      <c r="AA18" s="20">
        <f>'伤害统计(理想)'!AA18</f>
        <v>0.1953</v>
      </c>
      <c r="AB18" s="20">
        <f>'伤害统计(理想)'!AB18</f>
        <v>2.5289</v>
      </c>
      <c r="AC18" s="20">
        <f t="shared" si="0"/>
        <v>128967</v>
      </c>
      <c r="AD18" s="20">
        <f t="shared" si="1"/>
        <v>177297</v>
      </c>
      <c r="AE18" s="20">
        <f t="shared" si="2"/>
        <v>191522</v>
      </c>
      <c r="AF18" s="20">
        <f t="shared" si="3"/>
        <v>269476</v>
      </c>
      <c r="AG18" s="20">
        <f t="shared" si="4"/>
        <v>413740</v>
      </c>
      <c r="AH18" s="20">
        <f>INT(AE18*(T18+U18+0.4441+按提示输入属性!D64*0.1953))</f>
        <v>522644</v>
      </c>
      <c r="AI18" s="20">
        <f t="shared" si="5"/>
        <v>153132</v>
      </c>
      <c r="AJ18" s="20">
        <f t="shared" si="6"/>
        <v>357348</v>
      </c>
      <c r="AK18" s="20">
        <f t="shared" si="7"/>
        <v>165418</v>
      </c>
      <c r="AL18" s="20">
        <f t="shared" si="8"/>
        <v>386019</v>
      </c>
      <c r="AM18" s="20">
        <f t="shared" si="9"/>
        <v>448366</v>
      </c>
      <c r="AN18" s="20">
        <f t="shared" si="10"/>
        <v>484339</v>
      </c>
    </row>
    <row r="19" spans="1:40">
      <c r="A19" s="20" t="str">
        <f>'伤害统计(理想)'!A19</f>
        <v>破</v>
      </c>
      <c r="B19" s="20">
        <f>'伤害统计(理想)'!B19</f>
        <v>0</v>
      </c>
      <c r="C19" s="20">
        <f>'伤害统计(理想)'!C19</f>
        <v>0</v>
      </c>
      <c r="D19" s="20">
        <f>'伤害统计(理想)'!D19</f>
        <v>21804</v>
      </c>
      <c r="E19" s="20">
        <f>'伤害统计(理想)'!E19</f>
        <v>10.94936</v>
      </c>
      <c r="F19" s="20">
        <f>'伤害统计(理想)'!F19</f>
        <v>1</v>
      </c>
      <c r="G19" s="20">
        <f>'伤害统计(理想)'!G19</f>
        <v>0</v>
      </c>
      <c r="H19" s="20">
        <f>'伤害统计(理想)'!H19</f>
        <v>0</v>
      </c>
      <c r="I19" s="20">
        <f>'伤害统计(理想)'!I19</f>
        <v>0.05</v>
      </c>
      <c r="J19" s="20">
        <f>'伤害统计(理想)'!J19</f>
        <v>0.472</v>
      </c>
      <c r="K19" s="20">
        <f>'伤害统计(理想)'!K19</f>
        <v>0.1181</v>
      </c>
      <c r="L19" s="20">
        <f>'伤害统计(理想)'!L19</f>
        <v>0.177214436704937</v>
      </c>
      <c r="M19" s="20">
        <f>'伤害统计(理想)'!M19</f>
        <v>0.3473</v>
      </c>
      <c r="N19" s="20">
        <f>'伤害统计(理想)'!N19</f>
        <v>0.2</v>
      </c>
      <c r="O19" s="8">
        <f>O2</f>
        <v>0.501765</v>
      </c>
      <c r="P19" s="20">
        <f>'伤害统计(理想)'!P19</f>
        <v>0</v>
      </c>
      <c r="Q19" s="20">
        <f t="shared" si="11"/>
        <v>0.501765</v>
      </c>
      <c r="R19" s="20">
        <f>'伤害统计(理想)'!R19</f>
        <v>0.2441</v>
      </c>
      <c r="S19" s="20">
        <f t="shared" si="12"/>
        <v>0.745865</v>
      </c>
      <c r="T19" s="20">
        <f>'伤害统计(理想)'!T19</f>
        <v>2.0895</v>
      </c>
      <c r="U19" s="20">
        <f>'伤害统计(理想)'!U19</f>
        <v>0</v>
      </c>
      <c r="V19" s="20">
        <f>'伤害统计(理想)'!V19</f>
        <v>2.0895</v>
      </c>
      <c r="W19" s="20">
        <f>'伤害统计(理想)'!W19</f>
        <v>0.2441</v>
      </c>
      <c r="X19" s="20">
        <f>'伤害统计(理想)'!X19</f>
        <v>2.3336</v>
      </c>
      <c r="Y19" s="20">
        <f>'伤害统计(理想)'!Y19</f>
        <v>0.2441</v>
      </c>
      <c r="Z19" s="20">
        <f>'伤害统计(理想)'!Z19</f>
        <v>2.3336</v>
      </c>
      <c r="AA19" s="20">
        <f>'伤害统计(理想)'!AA19</f>
        <v>0.1953</v>
      </c>
      <c r="AB19" s="20">
        <f>'伤害统计(理想)'!AB19</f>
        <v>2.5289</v>
      </c>
      <c r="AC19" s="20">
        <f t="shared" si="0"/>
        <v>327236</v>
      </c>
      <c r="AD19" s="20">
        <f t="shared" si="1"/>
        <v>327237</v>
      </c>
      <c r="AE19" s="20">
        <f t="shared" si="2"/>
        <v>353492</v>
      </c>
      <c r="AF19" s="20">
        <f t="shared" si="3"/>
        <v>683759</v>
      </c>
      <c r="AG19" s="20">
        <f t="shared" si="4"/>
        <v>763640</v>
      </c>
      <c r="AH19" s="20">
        <f t="shared" ref="AH19:AH32" si="14">INT(AE19*(T19+U19+0.4441))</f>
        <v>895607</v>
      </c>
      <c r="AI19" s="20">
        <f t="shared" si="5"/>
        <v>327237</v>
      </c>
      <c r="AJ19" s="20">
        <f t="shared" si="6"/>
        <v>763640</v>
      </c>
      <c r="AK19" s="20">
        <f t="shared" si="7"/>
        <v>353492</v>
      </c>
      <c r="AL19" s="20">
        <f t="shared" si="8"/>
        <v>824908</v>
      </c>
      <c r="AM19" s="20">
        <f t="shared" si="9"/>
        <v>827549</v>
      </c>
      <c r="AN19" s="20">
        <f t="shared" si="10"/>
        <v>893945</v>
      </c>
    </row>
    <row r="20" spans="1:40">
      <c r="A20" s="20" t="str">
        <f>'伤害统计(理想)'!A20</f>
        <v>破(3.5</v>
      </c>
      <c r="B20" s="20">
        <f>'伤害统计(理想)'!B20</f>
        <v>0</v>
      </c>
      <c r="C20" s="20">
        <f>'伤害统计(理想)'!C20</f>
        <v>0</v>
      </c>
      <c r="D20" s="20">
        <f>'伤害统计(理想)'!D20</f>
        <v>21804</v>
      </c>
      <c r="E20" s="20">
        <f>'伤害统计(理想)'!E20</f>
        <v>3.9576</v>
      </c>
      <c r="F20" s="20">
        <f>'伤害统计(理想)'!F20</f>
        <v>1</v>
      </c>
      <c r="G20" s="20">
        <f>'伤害统计(理想)'!G20</f>
        <v>0</v>
      </c>
      <c r="H20" s="20">
        <f>'伤害统计(理想)'!H20</f>
        <v>0</v>
      </c>
      <c r="I20" s="20">
        <f>'伤害统计(理想)'!I20</f>
        <v>0.05</v>
      </c>
      <c r="J20" s="20">
        <f>'伤害统计(理想)'!J20</f>
        <v>0.472</v>
      </c>
      <c r="K20" s="20">
        <f>'伤害统计(理想)'!K20</f>
        <v>0.1181</v>
      </c>
      <c r="L20" s="20">
        <f>'伤害统计(理想)'!L20</f>
        <v>0.177214436704937</v>
      </c>
      <c r="M20" s="20">
        <f>'伤害统计(理想)'!M20</f>
        <v>0.3473</v>
      </c>
      <c r="N20" s="20">
        <f>'伤害统计(理想)'!N20</f>
        <v>0.2</v>
      </c>
      <c r="O20" s="8">
        <f>O2</f>
        <v>0.501765</v>
      </c>
      <c r="P20" s="20">
        <f>'伤害统计(理想)'!P20</f>
        <v>0</v>
      </c>
      <c r="Q20" s="20">
        <f t="shared" si="11"/>
        <v>0.501765</v>
      </c>
      <c r="R20" s="20">
        <f>'伤害统计(理想)'!R20</f>
        <v>0.2441</v>
      </c>
      <c r="S20" s="20">
        <f t="shared" si="12"/>
        <v>0.745865</v>
      </c>
      <c r="T20" s="20">
        <f>'伤害统计(理想)'!T20</f>
        <v>2.0895</v>
      </c>
      <c r="U20" s="20">
        <f>'伤害统计(理想)'!U20</f>
        <v>0</v>
      </c>
      <c r="V20" s="20">
        <f>'伤害统计(理想)'!V20</f>
        <v>2.0895</v>
      </c>
      <c r="W20" s="20">
        <f>'伤害统计(理想)'!W20</f>
        <v>0.2441</v>
      </c>
      <c r="X20" s="20">
        <f>'伤害统计(理想)'!X20</f>
        <v>2.3336</v>
      </c>
      <c r="Y20" s="20">
        <f>'伤害统计(理想)'!Y20</f>
        <v>0.2441</v>
      </c>
      <c r="Z20" s="20">
        <f>'伤害统计(理想)'!Z20</f>
        <v>2.3336</v>
      </c>
      <c r="AA20" s="20">
        <f>'伤害统计(理想)'!AA20</f>
        <v>0.1953</v>
      </c>
      <c r="AB20" s="20">
        <f>'伤害统计(理想)'!AB20</f>
        <v>2.5289</v>
      </c>
      <c r="AC20" s="20">
        <f t="shared" si="0"/>
        <v>118277</v>
      </c>
      <c r="AD20" s="20">
        <f t="shared" si="1"/>
        <v>118278</v>
      </c>
      <c r="AE20" s="20">
        <f t="shared" si="2"/>
        <v>127768</v>
      </c>
      <c r="AF20" s="20">
        <f t="shared" si="3"/>
        <v>247139</v>
      </c>
      <c r="AG20" s="20">
        <f t="shared" si="4"/>
        <v>276013</v>
      </c>
      <c r="AH20" s="20">
        <f t="shared" si="14"/>
        <v>323713</v>
      </c>
      <c r="AI20" s="20">
        <f t="shared" si="5"/>
        <v>118278</v>
      </c>
      <c r="AJ20" s="20">
        <f t="shared" si="6"/>
        <v>276013</v>
      </c>
      <c r="AK20" s="20">
        <f t="shared" si="7"/>
        <v>127768</v>
      </c>
      <c r="AL20" s="20">
        <f t="shared" si="8"/>
        <v>298159</v>
      </c>
      <c r="AM20" s="20">
        <f t="shared" si="9"/>
        <v>299113</v>
      </c>
      <c r="AN20" s="20">
        <f t="shared" si="10"/>
        <v>323112</v>
      </c>
    </row>
    <row r="21" spans="1:40">
      <c r="A21" s="20" t="str">
        <f>'伤害统计(理想)'!A21</f>
        <v>破(万世二段</v>
      </c>
      <c r="B21" s="20">
        <f>'伤害统计(理想)'!B21</f>
        <v>0</v>
      </c>
      <c r="C21" s="20">
        <f>'伤害统计(理想)'!C21</f>
        <v>0</v>
      </c>
      <c r="D21" s="20">
        <f>'伤害统计(理想)'!D21</f>
        <v>21804</v>
      </c>
      <c r="E21" s="20">
        <f>'伤害统计(理想)'!E21</f>
        <v>7.9152</v>
      </c>
      <c r="F21" s="20">
        <f>'伤害统计(理想)'!F21</f>
        <v>1</v>
      </c>
      <c r="G21" s="20">
        <f>'伤害统计(理想)'!G21</f>
        <v>0</v>
      </c>
      <c r="H21" s="20">
        <f>'伤害统计(理想)'!H21</f>
        <v>0</v>
      </c>
      <c r="I21" s="20">
        <f>'伤害统计(理想)'!I21</f>
        <v>0.05</v>
      </c>
      <c r="J21" s="20">
        <f>'伤害统计(理想)'!J21</f>
        <v>0.472</v>
      </c>
      <c r="K21" s="20">
        <f>'伤害统计(理想)'!K21</f>
        <v>0.1181</v>
      </c>
      <c r="L21" s="20">
        <f>'伤害统计(理想)'!L21</f>
        <v>0.177214436704937</v>
      </c>
      <c r="M21" s="20">
        <f>'伤害统计(理想)'!M21</f>
        <v>0.3473</v>
      </c>
      <c r="N21" s="20">
        <f>'伤害统计(理想)'!N21</f>
        <v>0.2</v>
      </c>
      <c r="O21" s="8">
        <f>O2</f>
        <v>0.501765</v>
      </c>
      <c r="P21" s="20">
        <f>'伤害统计(理想)'!P21</f>
        <v>0</v>
      </c>
      <c r="Q21" s="20">
        <f t="shared" si="11"/>
        <v>0.501765</v>
      </c>
      <c r="R21" s="20">
        <f>'伤害统计(理想)'!R21</f>
        <v>0.2441</v>
      </c>
      <c r="S21" s="20">
        <f t="shared" si="12"/>
        <v>0.745865</v>
      </c>
      <c r="T21" s="20">
        <f>'伤害统计(理想)'!T21</f>
        <v>2.0895</v>
      </c>
      <c r="U21" s="20">
        <f>'伤害统计(理想)'!U21</f>
        <v>0</v>
      </c>
      <c r="V21" s="20">
        <f>'伤害统计(理想)'!V21</f>
        <v>2.0895</v>
      </c>
      <c r="W21" s="20">
        <f>'伤害统计(理想)'!W21</f>
        <v>0.2441</v>
      </c>
      <c r="X21" s="20">
        <f>'伤害统计(理想)'!X21</f>
        <v>2.3336</v>
      </c>
      <c r="Y21" s="20">
        <f>'伤害统计(理想)'!Y21</f>
        <v>0.2441</v>
      </c>
      <c r="Z21" s="20">
        <f>'伤害统计(理想)'!Z21</f>
        <v>2.3336</v>
      </c>
      <c r="AA21" s="20">
        <f>'伤害统计(理想)'!AA21</f>
        <v>0.1953</v>
      </c>
      <c r="AB21" s="20">
        <f>'伤害统计(理想)'!AB21</f>
        <v>2.5289</v>
      </c>
      <c r="AC21" s="20">
        <f t="shared" si="0"/>
        <v>236557</v>
      </c>
      <c r="AD21" s="20">
        <f t="shared" si="1"/>
        <v>236557</v>
      </c>
      <c r="AE21" s="20">
        <f t="shared" si="2"/>
        <v>255536</v>
      </c>
      <c r="AF21" s="20">
        <f t="shared" si="3"/>
        <v>494285</v>
      </c>
      <c r="AG21" s="20">
        <f t="shared" si="4"/>
        <v>552029</v>
      </c>
      <c r="AH21" s="20">
        <f t="shared" si="14"/>
        <v>647426</v>
      </c>
      <c r="AI21" s="20">
        <f t="shared" si="5"/>
        <v>236557</v>
      </c>
      <c r="AJ21" s="20">
        <f t="shared" si="6"/>
        <v>552029</v>
      </c>
      <c r="AK21" s="20">
        <f t="shared" si="7"/>
        <v>255536</v>
      </c>
      <c r="AL21" s="20">
        <f t="shared" si="8"/>
        <v>596318</v>
      </c>
      <c r="AM21" s="20">
        <f t="shared" si="9"/>
        <v>598228</v>
      </c>
      <c r="AN21" s="20">
        <f t="shared" si="10"/>
        <v>646224</v>
      </c>
    </row>
    <row r="22" spans="1:40">
      <c r="A22" s="20" t="str">
        <f>'伤害统计(理想)'!A22</f>
        <v>三才化生</v>
      </c>
      <c r="B22" s="20">
        <f>'伤害统计(理想)'!B22</f>
        <v>81</v>
      </c>
      <c r="C22" s="20">
        <f>'伤害统计(理想)'!C22</f>
        <v>34400</v>
      </c>
      <c r="D22" s="20">
        <f>'伤害统计(理想)'!D22</f>
        <v>45792</v>
      </c>
      <c r="E22" s="20">
        <f>'伤害统计(理想)'!E22</f>
        <v>0.08</v>
      </c>
      <c r="F22" s="20">
        <f>'伤害统计(理想)'!F22</f>
        <v>1</v>
      </c>
      <c r="G22" s="20">
        <f>'伤害统计(理想)'!G22</f>
        <v>0</v>
      </c>
      <c r="H22" s="20">
        <f>'伤害统计(理想)'!H22</f>
        <v>0</v>
      </c>
      <c r="I22" s="20">
        <f>'伤害统计(理想)'!I22</f>
        <v>0.05</v>
      </c>
      <c r="J22" s="20">
        <f>'伤害统计(理想)'!J22</f>
        <v>0.472</v>
      </c>
      <c r="K22" s="20">
        <f>'伤害统计(理想)'!K22</f>
        <v>0.1181</v>
      </c>
      <c r="L22" s="20">
        <f>'伤害统计(理想)'!L22</f>
        <v>0.177214436704937</v>
      </c>
      <c r="M22" s="20">
        <f>'伤害统计(理想)'!M22</f>
        <v>0.3473</v>
      </c>
      <c r="N22" s="20">
        <f>'伤害统计(理想)'!N22</f>
        <v>0.2</v>
      </c>
      <c r="O22" s="8">
        <f>O2</f>
        <v>0.501765</v>
      </c>
      <c r="P22" s="20">
        <f>'伤害统计(理想)'!P22</f>
        <v>0</v>
      </c>
      <c r="Q22" s="20">
        <f t="shared" si="11"/>
        <v>0.501765</v>
      </c>
      <c r="R22" s="20">
        <f>'伤害统计(理想)'!R22</f>
        <v>0.2441</v>
      </c>
      <c r="S22" s="20">
        <f t="shared" si="12"/>
        <v>0.745865</v>
      </c>
      <c r="T22" s="20">
        <f>'伤害统计(理想)'!T22</f>
        <v>2.0895</v>
      </c>
      <c r="U22" s="20">
        <f>'伤害统计(理想)'!U22</f>
        <v>0</v>
      </c>
      <c r="V22" s="20">
        <f>'伤害统计(理想)'!V22</f>
        <v>2.0895</v>
      </c>
      <c r="W22" s="20">
        <f>'伤害统计(理想)'!W22</f>
        <v>0.2441</v>
      </c>
      <c r="X22" s="20">
        <f>'伤害统计(理想)'!X22</f>
        <v>2.3336</v>
      </c>
      <c r="Y22" s="20">
        <f>'伤害统计(理想)'!Y22</f>
        <v>0.2441</v>
      </c>
      <c r="Z22" s="20">
        <f>'伤害统计(理想)'!Z22</f>
        <v>2.3336</v>
      </c>
      <c r="AA22" s="20">
        <f>'伤害统计(理想)'!AA22</f>
        <v>0.1953</v>
      </c>
      <c r="AB22" s="20">
        <f>'伤害统计(理想)'!AB22</f>
        <v>2.5289</v>
      </c>
      <c r="AC22" s="20">
        <f t="shared" si="0"/>
        <v>5131</v>
      </c>
      <c r="AD22" s="20">
        <f t="shared" si="1"/>
        <v>7018</v>
      </c>
      <c r="AE22" s="20">
        <f t="shared" si="2"/>
        <v>7581</v>
      </c>
      <c r="AF22" s="20">
        <f t="shared" si="3"/>
        <v>10721</v>
      </c>
      <c r="AG22" s="20">
        <f t="shared" si="4"/>
        <v>16377</v>
      </c>
      <c r="AH22" s="20">
        <f t="shared" si="14"/>
        <v>19207</v>
      </c>
      <c r="AI22" s="20">
        <f t="shared" si="5"/>
        <v>6075</v>
      </c>
      <c r="AJ22" s="20">
        <f t="shared" si="6"/>
        <v>14176</v>
      </c>
      <c r="AK22" s="20">
        <f t="shared" si="7"/>
        <v>6562</v>
      </c>
      <c r="AL22" s="20">
        <f t="shared" si="8"/>
        <v>15313</v>
      </c>
      <c r="AM22" s="20">
        <f t="shared" si="9"/>
        <v>17747</v>
      </c>
      <c r="AN22" s="20">
        <f t="shared" si="10"/>
        <v>19171</v>
      </c>
    </row>
    <row r="23" spans="1:40">
      <c r="A23" s="20" t="str">
        <f>'伤害统计(理想)'!A23</f>
        <v>厚亡</v>
      </c>
      <c r="B23" s="20">
        <f>'伤害统计(理想)'!B23</f>
        <v>35</v>
      </c>
      <c r="C23" s="20">
        <f>'伤害统计(理想)'!C23</f>
        <v>34400</v>
      </c>
      <c r="D23" s="20">
        <f>'伤害统计(理想)'!D23</f>
        <v>45792</v>
      </c>
      <c r="E23" s="20">
        <f>'伤害统计(理想)'!E23</f>
        <v>1.625</v>
      </c>
      <c r="F23" s="20">
        <f>'伤害统计(理想)'!F23</f>
        <v>1</v>
      </c>
      <c r="G23" s="20">
        <f>'伤害统计(理想)'!G23</f>
        <v>0</v>
      </c>
      <c r="H23" s="20">
        <f>'伤害统计(理想)'!H23</f>
        <v>0</v>
      </c>
      <c r="I23" s="20">
        <f>'伤害统计(理想)'!I23</f>
        <v>0.05</v>
      </c>
      <c r="J23" s="20">
        <f>'伤害统计(理想)'!J23</f>
        <v>0.472</v>
      </c>
      <c r="K23" s="20">
        <f>'伤害统计(理想)'!K23</f>
        <v>0.1181</v>
      </c>
      <c r="L23" s="20">
        <f>'伤害统计(理想)'!L23</f>
        <v>0.177214436704937</v>
      </c>
      <c r="M23" s="20">
        <f>'伤害统计(理想)'!M23</f>
        <v>0.3473</v>
      </c>
      <c r="N23" s="20">
        <f>'伤害统计(理想)'!N23</f>
        <v>0.2</v>
      </c>
      <c r="O23" s="8">
        <f>O2</f>
        <v>0.501765</v>
      </c>
      <c r="P23" s="20">
        <f>'伤害统计(理想)'!P23</f>
        <v>0</v>
      </c>
      <c r="Q23" s="20">
        <f t="shared" si="11"/>
        <v>0.501765</v>
      </c>
      <c r="R23" s="20">
        <f>'伤害统计(理想)'!R23</f>
        <v>0.2441</v>
      </c>
      <c r="S23" s="20">
        <f t="shared" si="12"/>
        <v>0.745865</v>
      </c>
      <c r="T23" s="20">
        <f>'伤害统计(理想)'!T23</f>
        <v>2.0895</v>
      </c>
      <c r="U23" s="20">
        <f>'伤害统计(理想)'!U23</f>
        <v>0</v>
      </c>
      <c r="V23" s="20">
        <f>'伤害统计(理想)'!V23</f>
        <v>2.0895</v>
      </c>
      <c r="W23" s="20">
        <f>'伤害统计(理想)'!W23</f>
        <v>0.2441</v>
      </c>
      <c r="X23" s="20">
        <f>'伤害统计(理想)'!X23</f>
        <v>2.3336</v>
      </c>
      <c r="Y23" s="20">
        <f>'伤害统计(理想)'!Y23</f>
        <v>0.2441</v>
      </c>
      <c r="Z23" s="20">
        <f>'伤害统计(理想)'!Z23</f>
        <v>2.3336</v>
      </c>
      <c r="AA23" s="20">
        <f>'伤害统计(理想)'!AA23</f>
        <v>0.1953</v>
      </c>
      <c r="AB23" s="20">
        <f>'伤害统计(理想)'!AB23</f>
        <v>2.5289</v>
      </c>
      <c r="AC23" s="20">
        <f t="shared" si="0"/>
        <v>102043</v>
      </c>
      <c r="AD23" s="20">
        <f t="shared" si="1"/>
        <v>140354</v>
      </c>
      <c r="AE23" s="20">
        <f t="shared" si="2"/>
        <v>151614</v>
      </c>
      <c r="AF23" s="20">
        <f t="shared" si="3"/>
        <v>213218</v>
      </c>
      <c r="AG23" s="20">
        <f t="shared" si="4"/>
        <v>327530</v>
      </c>
      <c r="AH23" s="20">
        <f t="shared" si="14"/>
        <v>384129</v>
      </c>
      <c r="AI23" s="20">
        <f t="shared" si="5"/>
        <v>121198</v>
      </c>
      <c r="AJ23" s="20">
        <f t="shared" si="6"/>
        <v>282827</v>
      </c>
      <c r="AK23" s="20">
        <f t="shared" si="7"/>
        <v>130922</v>
      </c>
      <c r="AL23" s="20">
        <f t="shared" si="8"/>
        <v>305519</v>
      </c>
      <c r="AM23" s="20">
        <f t="shared" si="9"/>
        <v>354941</v>
      </c>
      <c r="AN23" s="20">
        <f t="shared" si="10"/>
        <v>383416</v>
      </c>
    </row>
    <row r="24" spans="1:40">
      <c r="A24" s="20" t="str">
        <f>'伤害统计(理想)'!A24</f>
        <v>刃凌</v>
      </c>
      <c r="B24" s="20">
        <f>'伤害统计(理想)'!B24</f>
        <v>48</v>
      </c>
      <c r="C24" s="20">
        <f>'伤害统计(理想)'!C24</f>
        <v>34400</v>
      </c>
      <c r="D24" s="20">
        <f>'伤害统计(理想)'!D24</f>
        <v>45792</v>
      </c>
      <c r="E24" s="20">
        <f>'伤害统计(理想)'!E24</f>
        <v>0.260417</v>
      </c>
      <c r="F24" s="20">
        <f>'伤害统计(理想)'!F24</f>
        <v>1</v>
      </c>
      <c r="G24" s="20">
        <f>'伤害统计(理想)'!G24</f>
        <v>0</v>
      </c>
      <c r="H24" s="20">
        <f>'伤害统计(理想)'!H24</f>
        <v>0</v>
      </c>
      <c r="I24" s="20">
        <f>'伤害统计(理想)'!I24</f>
        <v>0.05</v>
      </c>
      <c r="J24" s="20">
        <f>'伤害统计(理想)'!J24</f>
        <v>0.472</v>
      </c>
      <c r="K24" s="20">
        <f>'伤害统计(理想)'!K24</f>
        <v>0.1181</v>
      </c>
      <c r="L24" s="20">
        <f>'伤害统计(理想)'!L24</f>
        <v>0.177214436704937</v>
      </c>
      <c r="M24" s="20">
        <f>'伤害统计(理想)'!M24</f>
        <v>0.3473</v>
      </c>
      <c r="N24" s="20">
        <f>'伤害统计(理想)'!N24</f>
        <v>0.2</v>
      </c>
      <c r="O24" s="8">
        <f>O2</f>
        <v>0.501765</v>
      </c>
      <c r="P24" s="20">
        <f>'伤害统计(理想)'!P24</f>
        <v>0</v>
      </c>
      <c r="Q24" s="20">
        <f t="shared" si="11"/>
        <v>0.501765</v>
      </c>
      <c r="R24" s="20">
        <f>'伤害统计(理想)'!R24</f>
        <v>0.2441</v>
      </c>
      <c r="S24" s="20">
        <f t="shared" si="12"/>
        <v>0.745865</v>
      </c>
      <c r="T24" s="20">
        <f>'伤害统计(理想)'!T24</f>
        <v>2.0895</v>
      </c>
      <c r="U24" s="20">
        <f>'伤害统计(理想)'!U24</f>
        <v>0</v>
      </c>
      <c r="V24" s="20">
        <f>'伤害统计(理想)'!V24</f>
        <v>2.0895</v>
      </c>
      <c r="W24" s="20">
        <f>'伤害统计(理想)'!W24</f>
        <v>0.2441</v>
      </c>
      <c r="X24" s="20">
        <f>'伤害统计(理想)'!X24</f>
        <v>2.3336</v>
      </c>
      <c r="Y24" s="20">
        <f>'伤害统计(理想)'!Y24</f>
        <v>0.2441</v>
      </c>
      <c r="Z24" s="20">
        <f>'伤害统计(理想)'!Z24</f>
        <v>2.3336</v>
      </c>
      <c r="AA24" s="20">
        <f>'伤害统计(理想)'!AA24</f>
        <v>0.1953</v>
      </c>
      <c r="AB24" s="20">
        <f>'伤害统计(理想)'!AB24</f>
        <v>2.5289</v>
      </c>
      <c r="AC24" s="20">
        <f t="shared" si="0"/>
        <v>16411</v>
      </c>
      <c r="AD24" s="20">
        <f t="shared" si="1"/>
        <v>22550</v>
      </c>
      <c r="AE24" s="20">
        <f t="shared" si="2"/>
        <v>24360</v>
      </c>
      <c r="AF24" s="20">
        <f t="shared" si="3"/>
        <v>34290</v>
      </c>
      <c r="AG24" s="20">
        <f t="shared" si="4"/>
        <v>52622</v>
      </c>
      <c r="AH24" s="20">
        <f t="shared" si="14"/>
        <v>61718</v>
      </c>
      <c r="AI24" s="20">
        <f t="shared" si="5"/>
        <v>19481</v>
      </c>
      <c r="AJ24" s="20">
        <f t="shared" si="6"/>
        <v>45460</v>
      </c>
      <c r="AK24" s="20">
        <f t="shared" si="7"/>
        <v>21043</v>
      </c>
      <c r="AL24" s="20">
        <f t="shared" si="8"/>
        <v>49105</v>
      </c>
      <c r="AM24" s="20">
        <f t="shared" si="9"/>
        <v>57026</v>
      </c>
      <c r="AN24" s="20">
        <f t="shared" si="10"/>
        <v>61604</v>
      </c>
    </row>
    <row r="25" spans="1:40">
      <c r="A25" s="20" t="str">
        <f>'伤害统计(理想)'!A25</f>
        <v>昆吾·弦刃</v>
      </c>
      <c r="B25" s="20">
        <f>'伤害统计(理想)'!B25</f>
        <v>48</v>
      </c>
      <c r="C25" s="20">
        <f>'伤害统计(理想)'!C25</f>
        <v>34400</v>
      </c>
      <c r="D25" s="20">
        <f>'伤害统计(理想)'!D25</f>
        <v>45792</v>
      </c>
      <c r="E25" s="20">
        <f>'伤害统计(理想)'!E25</f>
        <v>0.46875</v>
      </c>
      <c r="F25" s="20">
        <f>'伤害统计(理想)'!F25</f>
        <v>1</v>
      </c>
      <c r="G25" s="20">
        <f>'伤害统计(理想)'!G25</f>
        <v>0</v>
      </c>
      <c r="H25" s="20">
        <f>'伤害统计(理想)'!H25</f>
        <v>0</v>
      </c>
      <c r="I25" s="20">
        <f>'伤害统计(理想)'!I25</f>
        <v>0.05</v>
      </c>
      <c r="J25" s="20">
        <f>'伤害统计(理想)'!J25</f>
        <v>0.472</v>
      </c>
      <c r="K25" s="20">
        <f>'伤害统计(理想)'!K25</f>
        <v>0.1181</v>
      </c>
      <c r="L25" s="20">
        <f>'伤害统计(理想)'!L25</f>
        <v>0.177214436704937</v>
      </c>
      <c r="M25" s="20">
        <f>'伤害统计(理想)'!M25</f>
        <v>0.3473</v>
      </c>
      <c r="N25" s="20">
        <f>'伤害统计(理想)'!N25</f>
        <v>0.2</v>
      </c>
      <c r="O25" s="8">
        <f>O2</f>
        <v>0.501765</v>
      </c>
      <c r="P25" s="20">
        <f>'伤害统计(理想)'!P25</f>
        <v>0</v>
      </c>
      <c r="Q25" s="20">
        <f t="shared" si="11"/>
        <v>0.501765</v>
      </c>
      <c r="R25" s="20">
        <f>'伤害统计(理想)'!R25</f>
        <v>0.2441</v>
      </c>
      <c r="S25" s="20">
        <f t="shared" si="12"/>
        <v>0.745865</v>
      </c>
      <c r="T25" s="20">
        <f>'伤害统计(理想)'!T25</f>
        <v>2.0895</v>
      </c>
      <c r="U25" s="20">
        <f>'伤害统计(理想)'!U25</f>
        <v>0</v>
      </c>
      <c r="V25" s="20">
        <f>'伤害统计(理想)'!V25</f>
        <v>2.0895</v>
      </c>
      <c r="W25" s="20">
        <f>'伤害统计(理想)'!W25</f>
        <v>0.2441</v>
      </c>
      <c r="X25" s="20">
        <f>'伤害统计(理想)'!X25</f>
        <v>2.3336</v>
      </c>
      <c r="Y25" s="20">
        <f>'伤害统计(理想)'!Y25</f>
        <v>0.2441</v>
      </c>
      <c r="Z25" s="20">
        <f>'伤害统计(理想)'!Z25</f>
        <v>2.3336</v>
      </c>
      <c r="AA25" s="20">
        <f>'伤害统计(理想)'!AA25</f>
        <v>0.1953</v>
      </c>
      <c r="AB25" s="20">
        <f>'伤害统计(理想)'!AB25</f>
        <v>2.5289</v>
      </c>
      <c r="AC25" s="20">
        <f t="shared" si="0"/>
        <v>29487</v>
      </c>
      <c r="AD25" s="20">
        <f t="shared" si="1"/>
        <v>40538</v>
      </c>
      <c r="AE25" s="20">
        <f t="shared" si="2"/>
        <v>43791</v>
      </c>
      <c r="AF25" s="20">
        <f t="shared" si="3"/>
        <v>61613</v>
      </c>
      <c r="AG25" s="20">
        <f t="shared" si="4"/>
        <v>94599</v>
      </c>
      <c r="AH25" s="20">
        <f t="shared" si="14"/>
        <v>110948</v>
      </c>
      <c r="AI25" s="20">
        <f t="shared" si="5"/>
        <v>35013</v>
      </c>
      <c r="AJ25" s="20">
        <f t="shared" si="6"/>
        <v>81706</v>
      </c>
      <c r="AK25" s="20">
        <f t="shared" si="7"/>
        <v>37822</v>
      </c>
      <c r="AL25" s="20">
        <f t="shared" si="8"/>
        <v>88261</v>
      </c>
      <c r="AM25" s="20">
        <f t="shared" si="9"/>
        <v>102516</v>
      </c>
      <c r="AN25" s="20">
        <f t="shared" si="10"/>
        <v>110743</v>
      </c>
    </row>
    <row r="26" spans="1:40">
      <c r="A26" s="20" t="str">
        <f>'伤害统计(理想)'!A26</f>
        <v>腾空·三才</v>
      </c>
      <c r="B26" s="20">
        <f>'伤害统计(理想)'!B26</f>
        <v>550865</v>
      </c>
      <c r="C26" s="20">
        <f>'伤害统计(理想)'!C26</f>
        <v>34400</v>
      </c>
      <c r="D26" s="20">
        <f>'伤害统计(理想)'!D26</f>
        <v>0</v>
      </c>
      <c r="E26" s="20">
        <f>'伤害统计(理想)'!E26</f>
        <v>1</v>
      </c>
      <c r="F26" s="20">
        <f>'伤害统计(理想)'!F26</f>
        <v>1</v>
      </c>
      <c r="G26" s="20">
        <f>'伤害统计(理想)'!G26</f>
        <v>0</v>
      </c>
      <c r="H26" s="20">
        <f>'伤害统计(理想)'!H26</f>
        <v>0</v>
      </c>
      <c r="I26" s="20">
        <f>'伤害统计(理想)'!I26</f>
        <v>0.05</v>
      </c>
      <c r="J26" s="20">
        <f>'伤害统计(理想)'!J26</f>
        <v>0.472</v>
      </c>
      <c r="K26" s="20">
        <f>'伤害统计(理想)'!K26</f>
        <v>0.1181</v>
      </c>
      <c r="L26" s="20">
        <f>'伤害统计(理想)'!L26</f>
        <v>0.177214436704937</v>
      </c>
      <c r="M26" s="20">
        <f>'伤害统计(理想)'!M26</f>
        <v>0.3473</v>
      </c>
      <c r="N26" s="20">
        <f>'伤害统计(理想)'!N26</f>
        <v>0.2</v>
      </c>
      <c r="O26" s="8">
        <f>O2</f>
        <v>0.501765</v>
      </c>
      <c r="P26" s="20">
        <f>'伤害统计(理想)'!P26</f>
        <v>0</v>
      </c>
      <c r="Q26" s="20">
        <f t="shared" si="11"/>
        <v>0.501765</v>
      </c>
      <c r="R26" s="20">
        <f>'伤害统计(理想)'!R26</f>
        <v>0.2441</v>
      </c>
      <c r="S26" s="20">
        <f t="shared" si="12"/>
        <v>0.745865</v>
      </c>
      <c r="T26" s="20">
        <f>'伤害统计(理想)'!T26</f>
        <v>2.0895</v>
      </c>
      <c r="U26" s="20">
        <f>'伤害统计(理想)'!U26</f>
        <v>0</v>
      </c>
      <c r="V26" s="20">
        <f>'伤害统计(理想)'!V26</f>
        <v>2.0895</v>
      </c>
      <c r="W26" s="20">
        <f>'伤害统计(理想)'!W26</f>
        <v>0.2441</v>
      </c>
      <c r="X26" s="20">
        <f>'伤害统计(理想)'!X26</f>
        <v>2.3336</v>
      </c>
      <c r="Y26" s="20">
        <f>'伤害统计(理想)'!Y26</f>
        <v>0.2441</v>
      </c>
      <c r="Z26" s="20">
        <f>'伤害统计(理想)'!Z26</f>
        <v>2.3336</v>
      </c>
      <c r="AA26" s="20">
        <f>'伤害统计(理想)'!AA26</f>
        <v>0.1953</v>
      </c>
      <c r="AB26" s="20">
        <f>'伤害统计(理想)'!AB26</f>
        <v>2.5289</v>
      </c>
      <c r="AC26" s="20">
        <f t="shared" si="0"/>
        <v>755063</v>
      </c>
      <c r="AD26" s="20">
        <f t="shared" si="1"/>
        <v>778638</v>
      </c>
      <c r="AE26" s="20">
        <f t="shared" si="2"/>
        <v>841109</v>
      </c>
      <c r="AF26" s="20">
        <f t="shared" si="3"/>
        <v>1577704</v>
      </c>
      <c r="AG26" s="20">
        <f t="shared" si="4"/>
        <v>1817029</v>
      </c>
      <c r="AH26" s="20">
        <f t="shared" si="14"/>
        <v>2131033</v>
      </c>
      <c r="AI26" s="20">
        <f t="shared" si="5"/>
        <v>766851</v>
      </c>
      <c r="AJ26" s="20">
        <f t="shared" si="6"/>
        <v>1789523</v>
      </c>
      <c r="AK26" s="20">
        <f t="shared" si="7"/>
        <v>828376</v>
      </c>
      <c r="AL26" s="20">
        <f t="shared" si="8"/>
        <v>1933098</v>
      </c>
      <c r="AM26" s="20">
        <f t="shared" si="9"/>
        <v>1969097</v>
      </c>
      <c r="AN26" s="20">
        <f t="shared" si="10"/>
        <v>2127080</v>
      </c>
    </row>
    <row r="27" spans="1:40">
      <c r="A27" s="20" t="str">
        <f>'伤害统计(理想)'!A27</f>
        <v>腾空·凭虚</v>
      </c>
      <c r="B27" s="20">
        <f>'伤害统计(理想)'!B27</f>
        <v>568199</v>
      </c>
      <c r="C27" s="20">
        <f>'伤害统计(理想)'!C27</f>
        <v>34400</v>
      </c>
      <c r="D27" s="20">
        <f>'伤害统计(理想)'!D27</f>
        <v>0</v>
      </c>
      <c r="E27" s="20">
        <f>'伤害统计(理想)'!E27</f>
        <v>1</v>
      </c>
      <c r="F27" s="20">
        <f>'伤害统计(理想)'!F27</f>
        <v>1</v>
      </c>
      <c r="G27" s="20">
        <f>'伤害统计(理想)'!G27</f>
        <v>0</v>
      </c>
      <c r="H27" s="20">
        <f>'伤害统计(理想)'!H27</f>
        <v>0</v>
      </c>
      <c r="I27" s="20">
        <f>'伤害统计(理想)'!I27</f>
        <v>0.05</v>
      </c>
      <c r="J27" s="20">
        <f>'伤害统计(理想)'!J27</f>
        <v>0.472</v>
      </c>
      <c r="K27" s="20">
        <f>'伤害统计(理想)'!K27</f>
        <v>0.1181</v>
      </c>
      <c r="L27" s="20">
        <f>'伤害统计(理想)'!L27</f>
        <v>0.177214436704937</v>
      </c>
      <c r="M27" s="20">
        <f>'伤害统计(理想)'!M27</f>
        <v>0.3473</v>
      </c>
      <c r="N27" s="20">
        <f>'伤害统计(理想)'!N27</f>
        <v>0.2</v>
      </c>
      <c r="O27" s="20">
        <f>'伤害统计(理想)'!O27</f>
        <v>1</v>
      </c>
      <c r="P27" s="20">
        <f>'伤害统计(理想)'!P27</f>
        <v>0</v>
      </c>
      <c r="Q27" s="20">
        <f t="shared" si="11"/>
        <v>1</v>
      </c>
      <c r="R27" s="20">
        <f>'伤害统计(理想)'!R27</f>
        <v>0.2441</v>
      </c>
      <c r="S27" s="20">
        <f t="shared" si="12"/>
        <v>1</v>
      </c>
      <c r="T27" s="20">
        <f>'伤害统计(理想)'!T27</f>
        <v>2.0895</v>
      </c>
      <c r="U27" s="20">
        <f>'伤害统计(理想)'!U27</f>
        <v>0</v>
      </c>
      <c r="V27" s="20">
        <f>'伤害统计(理想)'!V27</f>
        <v>2.0895</v>
      </c>
      <c r="W27" s="20">
        <f>'伤害统计(理想)'!W27</f>
        <v>0.2441</v>
      </c>
      <c r="X27" s="20">
        <f>'伤害统计(理想)'!X27</f>
        <v>2.3336</v>
      </c>
      <c r="Y27" s="20">
        <f>'伤害统计(理想)'!Y27</f>
        <v>0.2441</v>
      </c>
      <c r="Z27" s="20">
        <f>'伤害统计(理想)'!Z27</f>
        <v>2.3336</v>
      </c>
      <c r="AA27" s="20">
        <f>'伤害统计(理想)'!AA27</f>
        <v>0.1953</v>
      </c>
      <c r="AB27" s="20">
        <f>'伤害统计(理想)'!AB27</f>
        <v>2.5289</v>
      </c>
      <c r="AC27" s="20">
        <f t="shared" si="0"/>
        <v>778822</v>
      </c>
      <c r="AD27" s="20">
        <f t="shared" si="1"/>
        <v>802398</v>
      </c>
      <c r="AE27" s="20">
        <f t="shared" si="2"/>
        <v>866775</v>
      </c>
      <c r="AF27" s="20">
        <f t="shared" si="3"/>
        <v>1627348</v>
      </c>
      <c r="AG27" s="20">
        <f t="shared" si="4"/>
        <v>1872475</v>
      </c>
      <c r="AH27" s="20">
        <f t="shared" si="14"/>
        <v>2196061</v>
      </c>
      <c r="AI27" s="20">
        <f t="shared" si="5"/>
        <v>790610</v>
      </c>
      <c r="AJ27" s="20">
        <f t="shared" si="6"/>
        <v>1844967</v>
      </c>
      <c r="AK27" s="20">
        <f t="shared" si="7"/>
        <v>854041</v>
      </c>
      <c r="AL27" s="20">
        <f t="shared" si="8"/>
        <v>1992990</v>
      </c>
      <c r="AM27" s="20">
        <f t="shared" si="9"/>
        <v>2029184</v>
      </c>
      <c r="AN27" s="20">
        <f t="shared" si="10"/>
        <v>2191987</v>
      </c>
    </row>
    <row r="28" spans="1:40">
      <c r="A28" s="20" t="str">
        <f>'伤害统计(理想)'!A28</f>
        <v>腾空·凭虚·定</v>
      </c>
      <c r="B28" s="20">
        <f>'伤害统计(理想)'!B28</f>
        <v>141299</v>
      </c>
      <c r="C28" s="20">
        <f>'伤害统计(理想)'!C28</f>
        <v>34400</v>
      </c>
      <c r="D28" s="20">
        <f>'伤害统计(理想)'!D28</f>
        <v>0</v>
      </c>
      <c r="E28" s="20">
        <f>'伤害统计(理想)'!E28</f>
        <v>1</v>
      </c>
      <c r="F28" s="20">
        <f>'伤害统计(理想)'!F28</f>
        <v>1</v>
      </c>
      <c r="G28" s="20">
        <f>'伤害统计(理想)'!G28</f>
        <v>0</v>
      </c>
      <c r="H28" s="20">
        <f>'伤害统计(理想)'!H28</f>
        <v>0</v>
      </c>
      <c r="I28" s="20">
        <f>'伤害统计(理想)'!I28</f>
        <v>0.05</v>
      </c>
      <c r="J28" s="20">
        <f>'伤害统计(理想)'!J28</f>
        <v>0.472</v>
      </c>
      <c r="K28" s="20">
        <f>'伤害统计(理想)'!K28</f>
        <v>0.1181</v>
      </c>
      <c r="L28" s="20">
        <f>'伤害统计(理想)'!L28</f>
        <v>0.177214436704937</v>
      </c>
      <c r="M28" s="20">
        <f>'伤害统计(理想)'!M28</f>
        <v>0.3473</v>
      </c>
      <c r="N28" s="20">
        <f>'伤害统计(理想)'!N28</f>
        <v>0.2</v>
      </c>
      <c r="O28" s="8">
        <f>O2</f>
        <v>0.501765</v>
      </c>
      <c r="P28" s="20">
        <f>'伤害统计(理想)'!P28</f>
        <v>0</v>
      </c>
      <c r="Q28" s="20">
        <f t="shared" si="11"/>
        <v>0.501765</v>
      </c>
      <c r="R28" s="20">
        <f>'伤害统计(理想)'!R28</f>
        <v>0.2441</v>
      </c>
      <c r="S28" s="20">
        <f t="shared" si="12"/>
        <v>0.745865</v>
      </c>
      <c r="T28" s="20">
        <f>'伤害统计(理想)'!T28</f>
        <v>2.0895</v>
      </c>
      <c r="U28" s="20">
        <f>'伤害统计(理想)'!U28</f>
        <v>0</v>
      </c>
      <c r="V28" s="20">
        <f>'伤害统计(理想)'!V28</f>
        <v>2.0895</v>
      </c>
      <c r="W28" s="20">
        <f>'伤害统计(理想)'!W28</f>
        <v>0.2441</v>
      </c>
      <c r="X28" s="20">
        <f>'伤害统计(理想)'!X28</f>
        <v>2.3336</v>
      </c>
      <c r="Y28" s="20">
        <f>'伤害统计(理想)'!Y28</f>
        <v>0.2441</v>
      </c>
      <c r="Z28" s="20">
        <f>'伤害统计(理想)'!Z28</f>
        <v>2.3336</v>
      </c>
      <c r="AA28" s="20">
        <f>'伤害统计(理想)'!AA28</f>
        <v>0.1953</v>
      </c>
      <c r="AB28" s="20">
        <f>'伤害统计(理想)'!AB28</f>
        <v>2.5289</v>
      </c>
      <c r="AC28" s="20">
        <f t="shared" si="0"/>
        <v>193676</v>
      </c>
      <c r="AD28" s="20">
        <f t="shared" si="1"/>
        <v>217252</v>
      </c>
      <c r="AE28" s="20">
        <f t="shared" si="2"/>
        <v>234682</v>
      </c>
      <c r="AF28" s="20">
        <f t="shared" si="3"/>
        <v>404686</v>
      </c>
      <c r="AG28" s="20">
        <f t="shared" si="4"/>
        <v>506979</v>
      </c>
      <c r="AH28" s="20">
        <f t="shared" si="14"/>
        <v>594590</v>
      </c>
      <c r="AI28" s="20">
        <f t="shared" si="5"/>
        <v>205464</v>
      </c>
      <c r="AJ28" s="20">
        <f t="shared" si="6"/>
        <v>479470</v>
      </c>
      <c r="AK28" s="20">
        <f t="shared" si="7"/>
        <v>221949</v>
      </c>
      <c r="AL28" s="20">
        <f t="shared" si="8"/>
        <v>517940</v>
      </c>
      <c r="AM28" s="20">
        <f t="shared" si="9"/>
        <v>549408</v>
      </c>
      <c r="AN28" s="20">
        <f t="shared" si="10"/>
        <v>593487</v>
      </c>
    </row>
    <row r="29" spans="1:40">
      <c r="A29" s="20" t="str">
        <f>'伤害统计(理想)'!A29</f>
        <v>气竭(DOT)</v>
      </c>
      <c r="B29" s="20">
        <f>'伤害统计(理想)'!B29</f>
        <v>50</v>
      </c>
      <c r="C29" s="20">
        <f>'伤害统计(理想)'!C29</f>
        <v>34400</v>
      </c>
      <c r="D29" s="20">
        <f>'伤害统计(理想)'!D29</f>
        <v>45792</v>
      </c>
      <c r="E29" s="20">
        <f>'伤害统计(理想)'!E29</f>
        <v>0.5078125</v>
      </c>
      <c r="F29" s="20">
        <f>'伤害统计(理想)'!F29</f>
        <v>1</v>
      </c>
      <c r="G29" s="20">
        <f>'伤害统计(理想)'!G29</f>
        <v>0</v>
      </c>
      <c r="H29" s="20">
        <f>'伤害统计(理想)'!H29</f>
        <v>0</v>
      </c>
      <c r="I29" s="20">
        <f>'伤害统计(理想)'!I29</f>
        <v>0.05</v>
      </c>
      <c r="J29" s="20">
        <f>'伤害统计(理想)'!J29</f>
        <v>0.472</v>
      </c>
      <c r="K29" s="20">
        <f>'伤害统计(理想)'!K29</f>
        <v>0.1181</v>
      </c>
      <c r="L29" s="20">
        <f>'伤害统计(理想)'!L29</f>
        <v>0.177214436704937</v>
      </c>
      <c r="M29" s="20">
        <f>'伤害统计(理想)'!M29</f>
        <v>0.3473</v>
      </c>
      <c r="N29" s="20">
        <f>'伤害统计(理想)'!N29</f>
        <v>0.2</v>
      </c>
      <c r="O29" s="8">
        <f>O2</f>
        <v>0.501765</v>
      </c>
      <c r="P29" s="20">
        <f>'伤害统计(理想)'!P29</f>
        <v>0</v>
      </c>
      <c r="Q29" s="20">
        <f t="shared" si="11"/>
        <v>0.501765</v>
      </c>
      <c r="R29" s="20">
        <f>'伤害统计(理想)'!R29</f>
        <v>0.2441</v>
      </c>
      <c r="S29" s="20">
        <f t="shared" si="12"/>
        <v>0.745865</v>
      </c>
      <c r="T29" s="20">
        <f>'伤害统计(理想)'!T29</f>
        <v>2.0895</v>
      </c>
      <c r="U29" s="20">
        <f>'伤害统计(理想)'!U29</f>
        <v>0</v>
      </c>
      <c r="V29" s="20">
        <f>'伤害统计(理想)'!V29</f>
        <v>2.0895</v>
      </c>
      <c r="W29" s="20">
        <f>'伤害统计(理想)'!W29</f>
        <v>0.2441</v>
      </c>
      <c r="X29" s="20">
        <f>'伤害统计(理想)'!X29</f>
        <v>2.3336</v>
      </c>
      <c r="Y29" s="20">
        <f>'伤害统计(理想)'!Y29</f>
        <v>0.2441</v>
      </c>
      <c r="Z29" s="20">
        <f>'伤害统计(理想)'!Z29</f>
        <v>2.3336</v>
      </c>
      <c r="AA29" s="20">
        <f>'伤害统计(理想)'!AA29</f>
        <v>0.1953</v>
      </c>
      <c r="AB29" s="20">
        <f>'伤害统计(理想)'!AB29</f>
        <v>2.5289</v>
      </c>
      <c r="AC29" s="20">
        <f t="shared" si="0"/>
        <v>31941</v>
      </c>
      <c r="AD29" s="20">
        <f t="shared" si="1"/>
        <v>43914</v>
      </c>
      <c r="AE29" s="20">
        <f t="shared" si="2"/>
        <v>47437</v>
      </c>
      <c r="AF29" s="20">
        <f t="shared" si="3"/>
        <v>66740</v>
      </c>
      <c r="AG29" s="20">
        <f t="shared" si="4"/>
        <v>102477</v>
      </c>
      <c r="AH29" s="20">
        <f t="shared" si="14"/>
        <v>120186</v>
      </c>
      <c r="AI29" s="20">
        <f t="shared" si="5"/>
        <v>37928</v>
      </c>
      <c r="AJ29" s="20">
        <f t="shared" si="6"/>
        <v>88508</v>
      </c>
      <c r="AK29" s="20">
        <f t="shared" si="7"/>
        <v>40971</v>
      </c>
      <c r="AL29" s="20">
        <f t="shared" si="8"/>
        <v>95609</v>
      </c>
      <c r="AM29" s="20">
        <f t="shared" si="9"/>
        <v>111054</v>
      </c>
      <c r="AN29" s="20">
        <f t="shared" si="10"/>
        <v>119963</v>
      </c>
    </row>
    <row r="30" spans="1:40">
      <c r="A30" s="20" t="str">
        <f>'伤害统计(理想)'!A30</f>
        <v>星辰</v>
      </c>
      <c r="B30" s="20">
        <f>'伤害统计(理想)'!B30</f>
        <v>1038</v>
      </c>
      <c r="C30" s="20">
        <f>'伤害统计(理想)'!C30</f>
        <v>34400</v>
      </c>
      <c r="D30" s="20">
        <f>'伤害统计(理想)'!D30</f>
        <v>45792</v>
      </c>
      <c r="E30" s="20">
        <f>'伤害统计(理想)'!E30</f>
        <v>0.99609375</v>
      </c>
      <c r="F30" s="20">
        <f>'伤害统计(理想)'!F30</f>
        <v>1</v>
      </c>
      <c r="G30" s="20">
        <f>'伤害统计(理想)'!G30</f>
        <v>0</v>
      </c>
      <c r="H30" s="20">
        <f>'伤害统计(理想)'!H30</f>
        <v>0</v>
      </c>
      <c r="I30" s="20">
        <f>'伤害统计(理想)'!I30</f>
        <v>0.05</v>
      </c>
      <c r="J30" s="20">
        <f>'伤害统计(理想)'!J30</f>
        <v>0.472</v>
      </c>
      <c r="K30" s="20">
        <f>'伤害统计(理想)'!K30</f>
        <v>0.1181</v>
      </c>
      <c r="L30" s="20">
        <f>'伤害统计(理想)'!L30</f>
        <v>0.177214436704937</v>
      </c>
      <c r="M30" s="20">
        <f>'伤害统计(理想)'!M30</f>
        <v>0.3473</v>
      </c>
      <c r="N30" s="20">
        <f>'伤害统计(理想)'!N30</f>
        <v>0.2</v>
      </c>
      <c r="O30" s="8">
        <f>O2</f>
        <v>0.501765</v>
      </c>
      <c r="P30" s="20">
        <f>'伤害统计(理想)'!P30</f>
        <v>0</v>
      </c>
      <c r="Q30" s="20">
        <f t="shared" si="11"/>
        <v>0.501765</v>
      </c>
      <c r="R30" s="20">
        <f>'伤害统计(理想)'!R30</f>
        <v>0.2441</v>
      </c>
      <c r="S30" s="20">
        <f t="shared" si="12"/>
        <v>0.745865</v>
      </c>
      <c r="T30" s="20">
        <f>'伤害统计(理想)'!T30</f>
        <v>2.0895</v>
      </c>
      <c r="U30" s="20">
        <f>'伤害统计(理想)'!U30</f>
        <v>0</v>
      </c>
      <c r="V30" s="20">
        <f>'伤害统计(理想)'!V30</f>
        <v>2.0895</v>
      </c>
      <c r="W30" s="20">
        <f>'伤害统计(理想)'!W30</f>
        <v>0.2441</v>
      </c>
      <c r="X30" s="20">
        <f>'伤害统计(理想)'!X30</f>
        <v>2.3336</v>
      </c>
      <c r="Y30" s="20">
        <f>'伤害统计(理想)'!Y30</f>
        <v>0.2441</v>
      </c>
      <c r="Z30" s="20">
        <f>'伤害统计(理想)'!Z30</f>
        <v>2.3336</v>
      </c>
      <c r="AA30" s="20">
        <f>'伤害统计(理想)'!AA30</f>
        <v>0.1953</v>
      </c>
      <c r="AB30" s="20">
        <f>'伤害统计(理想)'!AB30</f>
        <v>2.5289</v>
      </c>
      <c r="AC30" s="20">
        <f t="shared" si="0"/>
        <v>63943</v>
      </c>
      <c r="AD30" s="20">
        <f t="shared" si="1"/>
        <v>87427</v>
      </c>
      <c r="AE30" s="20">
        <f t="shared" si="2"/>
        <v>94442</v>
      </c>
      <c r="AF30" s="20">
        <f t="shared" si="3"/>
        <v>133608</v>
      </c>
      <c r="AG30" s="20">
        <f t="shared" si="4"/>
        <v>204019</v>
      </c>
      <c r="AH30" s="20">
        <f t="shared" si="14"/>
        <v>239278</v>
      </c>
      <c r="AI30" s="20">
        <f t="shared" si="5"/>
        <v>75685</v>
      </c>
      <c r="AJ30" s="20">
        <f t="shared" si="6"/>
        <v>176618</v>
      </c>
      <c r="AK30" s="20">
        <f t="shared" si="7"/>
        <v>81758</v>
      </c>
      <c r="AL30" s="20">
        <f t="shared" si="8"/>
        <v>190790</v>
      </c>
      <c r="AM30" s="20">
        <f t="shared" si="9"/>
        <v>221094</v>
      </c>
      <c r="AN30" s="20">
        <f t="shared" si="10"/>
        <v>238834</v>
      </c>
    </row>
    <row r="31" spans="1:40">
      <c r="A31" s="20" t="str">
        <f>'伤害统计(理想)'!A31</f>
        <v>四象轮回·神兵</v>
      </c>
      <c r="B31" s="20">
        <f>'伤害统计(理想)'!B31</f>
        <v>21</v>
      </c>
      <c r="C31" s="20">
        <f>'伤害统计(理想)'!C31</f>
        <v>34400</v>
      </c>
      <c r="D31" s="20">
        <f>'伤害统计(理想)'!D31</f>
        <v>45792</v>
      </c>
      <c r="E31" s="20">
        <f>'伤害统计(理想)'!E31</f>
        <v>0.338541666666667</v>
      </c>
      <c r="F31" s="20">
        <f>'伤害统计(理想)'!F31</f>
        <v>1</v>
      </c>
      <c r="G31" s="20">
        <f>'伤害统计(理想)'!G31</f>
        <v>0</v>
      </c>
      <c r="H31" s="20">
        <f>'伤害统计(理想)'!H31</f>
        <v>0</v>
      </c>
      <c r="I31" s="20">
        <f>'伤害统计(理想)'!I31</f>
        <v>0.05</v>
      </c>
      <c r="J31" s="20">
        <f>'伤害统计(理想)'!J31</f>
        <v>0.472</v>
      </c>
      <c r="K31" s="20">
        <f>'伤害统计(理想)'!K31</f>
        <v>0.1181</v>
      </c>
      <c r="L31" s="20">
        <f>'伤害统计(理想)'!L31</f>
        <v>0.177214436704937</v>
      </c>
      <c r="M31" s="20">
        <f>'伤害统计(理想)'!M31</f>
        <v>0.3473</v>
      </c>
      <c r="N31" s="20">
        <f>'伤害统计(理想)'!N31</f>
        <v>0.2</v>
      </c>
      <c r="O31" s="8">
        <f>O2</f>
        <v>0.501765</v>
      </c>
      <c r="P31" s="20">
        <f>'伤害统计(理想)'!P31</f>
        <v>0</v>
      </c>
      <c r="Q31" s="20">
        <f>'伤害统计(理想)'!Q31</f>
        <v>0.4994</v>
      </c>
      <c r="R31" s="20">
        <f>'伤害统计(理想)'!R31</f>
        <v>0.2441</v>
      </c>
      <c r="S31" s="20">
        <f>'伤害统计(理想)'!S31</f>
        <v>0.7435</v>
      </c>
      <c r="T31" s="20">
        <f>'伤害统计(理想)'!T31</f>
        <v>2.0895</v>
      </c>
      <c r="U31" s="20">
        <f>'伤害统计(理想)'!U31</f>
        <v>0</v>
      </c>
      <c r="V31" s="20">
        <f>'伤害统计(理想)'!V31</f>
        <v>2.0895</v>
      </c>
      <c r="W31" s="20">
        <f>'伤害统计(理想)'!W31</f>
        <v>0.2441</v>
      </c>
      <c r="X31" s="20">
        <f>'伤害统计(理想)'!X31</f>
        <v>2.3336</v>
      </c>
      <c r="Y31" s="20">
        <f>'伤害统计(理想)'!Y31</f>
        <v>0.2441</v>
      </c>
      <c r="Z31" s="20">
        <f>'伤害统计(理想)'!Z31</f>
        <v>2.3336</v>
      </c>
      <c r="AA31" s="20">
        <f>'伤害统计(理想)'!AA31</f>
        <v>0.1953</v>
      </c>
      <c r="AB31" s="20">
        <f>'伤害统计(理想)'!AB31</f>
        <v>2.5289</v>
      </c>
      <c r="AC31" s="20">
        <f t="shared" si="0"/>
        <v>21277</v>
      </c>
      <c r="AD31" s="20">
        <f t="shared" si="1"/>
        <v>29259</v>
      </c>
      <c r="AE31" s="20">
        <f t="shared" si="2"/>
        <v>31606</v>
      </c>
      <c r="AF31" s="20">
        <f t="shared" si="3"/>
        <v>44458</v>
      </c>
      <c r="AG31" s="20">
        <f t="shared" si="4"/>
        <v>68278</v>
      </c>
      <c r="AH31" s="20">
        <f t="shared" si="14"/>
        <v>80076</v>
      </c>
      <c r="AI31" s="20">
        <f t="shared" si="5"/>
        <v>25268</v>
      </c>
      <c r="AJ31" s="20">
        <f t="shared" si="6"/>
        <v>58965</v>
      </c>
      <c r="AK31" s="20">
        <f t="shared" si="7"/>
        <v>27295</v>
      </c>
      <c r="AL31" s="20">
        <f t="shared" si="8"/>
        <v>63695</v>
      </c>
      <c r="AM31" s="20">
        <f t="shared" si="9"/>
        <v>73993</v>
      </c>
      <c r="AN31" s="20">
        <f t="shared" si="10"/>
        <v>79928</v>
      </c>
    </row>
    <row r="32" spans="1:40">
      <c r="A32" s="20" t="str">
        <f>'伤害统计(理想)'!A32</f>
        <v>太极无极(若冲)</v>
      </c>
      <c r="B32" s="20">
        <f>'伤害统计(理想)'!B32</f>
        <v>53</v>
      </c>
      <c r="C32" s="20">
        <f>'伤害统计(理想)'!C32</f>
        <v>99</v>
      </c>
      <c r="D32" s="20">
        <f>'伤害统计(理想)'!D32</f>
        <v>45792</v>
      </c>
      <c r="E32" s="20">
        <f>'伤害统计(理想)'!E32</f>
        <v>0.5</v>
      </c>
      <c r="F32" s="20">
        <f>'伤害统计(理想)'!F32</f>
        <v>1</v>
      </c>
      <c r="G32" s="20">
        <f>'伤害统计(理想)'!G32</f>
        <v>0.5</v>
      </c>
      <c r="H32" s="20">
        <f>'伤害统计(理想)'!H32</f>
        <v>0.3</v>
      </c>
      <c r="I32" s="20">
        <f>'伤害统计(理想)'!I32</f>
        <v>0.05</v>
      </c>
      <c r="J32" s="20">
        <f>'伤害统计(理想)'!J32</f>
        <v>0.472</v>
      </c>
      <c r="K32" s="20">
        <f>'伤害统计(理想)'!K32</f>
        <v>0.1181</v>
      </c>
      <c r="L32" s="20">
        <f>'伤害统计(理想)'!L32</f>
        <v>0.177214436704937</v>
      </c>
      <c r="M32" s="20">
        <f>'伤害统计(理想)'!M32</f>
        <v>0.3473</v>
      </c>
      <c r="N32" s="20">
        <f>'伤害统计(理想)'!N32</f>
        <v>0.2</v>
      </c>
      <c r="O32" s="8">
        <f>O2</f>
        <v>0.501765</v>
      </c>
      <c r="P32" s="20">
        <f>'伤害统计(理想)'!P32</f>
        <v>0</v>
      </c>
      <c r="Q32" s="20">
        <f>'伤害统计(理想)'!Q32</f>
        <v>0.4994</v>
      </c>
      <c r="R32" s="20">
        <f>'伤害统计(理想)'!R32</f>
        <v>0.2441</v>
      </c>
      <c r="S32" s="20">
        <f>'伤害统计(理想)'!S32</f>
        <v>0.7435</v>
      </c>
      <c r="T32" s="20">
        <f>'伤害统计(理想)'!T32</f>
        <v>2.0895</v>
      </c>
      <c r="U32" s="20">
        <f>'伤害统计(理想)'!U32</f>
        <v>0</v>
      </c>
      <c r="V32" s="20">
        <f>'伤害统计(理想)'!V32</f>
        <v>2.0895</v>
      </c>
      <c r="W32" s="20">
        <f>'伤害统计(理想)'!W32</f>
        <v>0.2441</v>
      </c>
      <c r="X32" s="20">
        <f>'伤害统计(理想)'!X32</f>
        <v>2.3336</v>
      </c>
      <c r="Y32" s="20">
        <f>'伤害统计(理想)'!Y32</f>
        <v>0.2441</v>
      </c>
      <c r="Z32" s="20">
        <f>'伤害统计(理想)'!Z32</f>
        <v>2.3336</v>
      </c>
      <c r="AA32" s="20">
        <f>'伤害统计(理想)'!AA32</f>
        <v>0.1953</v>
      </c>
      <c r="AB32" s="20">
        <f>'伤害统计(理想)'!AB32</f>
        <v>2.5289</v>
      </c>
      <c r="AC32" s="20">
        <f t="shared" si="0"/>
        <v>56620</v>
      </c>
      <c r="AD32" s="20">
        <f t="shared" si="1"/>
        <v>56681</v>
      </c>
      <c r="AE32" s="20">
        <f t="shared" si="2"/>
        <v>61229</v>
      </c>
      <c r="AF32" s="20">
        <f t="shared" si="3"/>
        <v>118307</v>
      </c>
      <c r="AG32" s="20">
        <f t="shared" si="4"/>
        <v>132270</v>
      </c>
      <c r="AH32" s="20">
        <f t="shared" si="14"/>
        <v>155129</v>
      </c>
      <c r="AI32" s="20">
        <f t="shared" si="5"/>
        <v>56651</v>
      </c>
      <c r="AJ32" s="20">
        <f t="shared" si="6"/>
        <v>132200</v>
      </c>
      <c r="AK32" s="20">
        <f t="shared" si="7"/>
        <v>61196</v>
      </c>
      <c r="AL32" s="20">
        <f t="shared" si="8"/>
        <v>142806</v>
      </c>
      <c r="AM32" s="20">
        <f t="shared" si="9"/>
        <v>143340</v>
      </c>
      <c r="AN32" s="20">
        <f t="shared" si="10"/>
        <v>154842</v>
      </c>
    </row>
    <row r="33" spans="1:29">
      <c r="A33" s="20">
        <f>'伤害统计(理想)'!A33</f>
        <v>0</v>
      </c>
      <c r="B33" s="20">
        <f>'伤害统计(理想)'!B33</f>
        <v>0</v>
      </c>
      <c r="C33" s="20">
        <f>'伤害统计(理想)'!C33</f>
        <v>0</v>
      </c>
      <c r="D33" s="20">
        <f>'伤害统计(理想)'!D33</f>
        <v>0</v>
      </c>
      <c r="E33" s="20">
        <f>'伤害统计(理想)'!E33</f>
        <v>0</v>
      </c>
      <c r="F33" s="20">
        <f>'伤害统计(理想)'!F33</f>
        <v>0</v>
      </c>
      <c r="G33" s="20">
        <f>'伤害统计(理想)'!G33</f>
        <v>0</v>
      </c>
      <c r="H33" s="20">
        <f>'伤害统计(理想)'!H33</f>
        <v>0</v>
      </c>
      <c r="I33" s="20">
        <f>'伤害统计(理想)'!I33</f>
        <v>0</v>
      </c>
      <c r="J33" s="20">
        <f>'伤害统计(理想)'!J33</f>
        <v>0</v>
      </c>
      <c r="K33" s="20">
        <f>'伤害统计(理想)'!K33</f>
        <v>0</v>
      </c>
      <c r="L33" s="20">
        <f>'伤害统计(理想)'!L33</f>
        <v>0</v>
      </c>
      <c r="M33" s="20">
        <f>'伤害统计(理想)'!M33</f>
        <v>0</v>
      </c>
      <c r="N33" s="20">
        <f>'伤害统计(理想)'!N33</f>
        <v>0</v>
      </c>
      <c r="O33" s="20">
        <f>'伤害统计(理想)'!O33</f>
        <v>0</v>
      </c>
      <c r="P33" s="20">
        <f>'伤害统计(理想)'!P33</f>
        <v>0</v>
      </c>
      <c r="Q33" s="20">
        <f>'伤害统计(理想)'!Q33</f>
        <v>0</v>
      </c>
      <c r="R33" s="20">
        <f>'伤害统计(理想)'!R33</f>
        <v>0</v>
      </c>
      <c r="S33" s="20">
        <f>'伤害统计(理想)'!S33</f>
        <v>0</v>
      </c>
      <c r="T33" s="20">
        <f>'伤害统计(理想)'!T33</f>
        <v>0</v>
      </c>
      <c r="U33" s="20">
        <f>'伤害统计(理想)'!U33</f>
        <v>0</v>
      </c>
      <c r="V33" s="20">
        <f>'伤害统计(理想)'!V33</f>
        <v>0</v>
      </c>
      <c r="W33" s="20">
        <f>'伤害统计(理想)'!W33</f>
        <v>0</v>
      </c>
      <c r="X33" s="20">
        <f>'伤害统计(理想)'!X33</f>
        <v>0</v>
      </c>
      <c r="Y33" s="20">
        <f>'伤害统计(理想)'!Y33</f>
        <v>0</v>
      </c>
      <c r="Z33" s="20">
        <f>'伤害统计(理想)'!Z33</f>
        <v>0</v>
      </c>
      <c r="AA33" s="20">
        <f>'伤害统计(理想)'!AA33</f>
        <v>0</v>
      </c>
      <c r="AB33" s="20">
        <f>'伤害统计(理想)'!AB33</f>
        <v>0</v>
      </c>
      <c r="AC33" s="29"/>
    </row>
    <row r="34" spans="1:29">
      <c r="A34" s="20">
        <f>'伤害统计(理想)'!A34</f>
        <v>0</v>
      </c>
      <c r="B34" s="20">
        <f>'伤害统计(理想)'!B34</f>
        <v>0</v>
      </c>
      <c r="C34" s="20">
        <f>'伤害统计(理想)'!C34</f>
        <v>0</v>
      </c>
      <c r="D34" s="20">
        <f>'伤害统计(理想)'!D34</f>
        <v>0</v>
      </c>
      <c r="E34" s="20">
        <f>'伤害统计(理想)'!E34</f>
        <v>0</v>
      </c>
      <c r="F34" s="20">
        <f>'伤害统计(理想)'!F34</f>
        <v>0</v>
      </c>
      <c r="G34" s="20">
        <f>'伤害统计(理想)'!G34</f>
        <v>0</v>
      </c>
      <c r="H34" s="20">
        <f>'伤害统计(理想)'!H34</f>
        <v>0</v>
      </c>
      <c r="I34" s="20">
        <f>'伤害统计(理想)'!I34</f>
        <v>0</v>
      </c>
      <c r="J34" s="20">
        <f>'伤害统计(理想)'!J34</f>
        <v>0</v>
      </c>
      <c r="K34" s="20">
        <f>'伤害统计(理想)'!K34</f>
        <v>0</v>
      </c>
      <c r="L34" s="20">
        <f>'伤害统计(理想)'!L34</f>
        <v>0</v>
      </c>
      <c r="M34" s="20">
        <f>'伤害统计(理想)'!M34</f>
        <v>0</v>
      </c>
      <c r="N34" s="20">
        <f>'伤害统计(理想)'!N34</f>
        <v>0</v>
      </c>
      <c r="O34" s="20">
        <f>'伤害统计(理想)'!O34</f>
        <v>0</v>
      </c>
      <c r="P34" s="20">
        <f>'伤害统计(理想)'!P34</f>
        <v>0</v>
      </c>
      <c r="Q34" s="20">
        <f>'伤害统计(理想)'!Q34</f>
        <v>0</v>
      </c>
      <c r="R34" s="20">
        <f>'伤害统计(理想)'!R34</f>
        <v>0</v>
      </c>
      <c r="S34" s="20">
        <f>'伤害统计(理想)'!S34</f>
        <v>0</v>
      </c>
      <c r="T34" s="20">
        <f>'伤害统计(理想)'!T34</f>
        <v>0</v>
      </c>
      <c r="U34" s="20">
        <f>'伤害统计(理想)'!U34</f>
        <v>0</v>
      </c>
      <c r="V34" s="20">
        <f>'伤害统计(理想)'!V34</f>
        <v>0</v>
      </c>
      <c r="W34" s="20">
        <f>'伤害统计(理想)'!W34</f>
        <v>0</v>
      </c>
      <c r="X34" s="20">
        <f>'伤害统计(理想)'!X34</f>
        <v>0</v>
      </c>
      <c r="Y34" s="20">
        <f>'伤害统计(理想)'!Y34</f>
        <v>0</v>
      </c>
      <c r="Z34" s="20">
        <f>'伤害统计(理想)'!Z34</f>
        <v>0</v>
      </c>
      <c r="AA34" s="20">
        <f>'伤害统计(理想)'!AA34</f>
        <v>0</v>
      </c>
      <c r="AB34" s="20">
        <f>'伤害统计(理想)'!AB34</f>
        <v>0</v>
      </c>
      <c r="AC34" s="29"/>
    </row>
    <row r="35" spans="1:29">
      <c r="A35" s="20">
        <f>'伤害统计(理想)'!A35</f>
        <v>0</v>
      </c>
      <c r="B35" s="20">
        <f>'伤害统计(理想)'!B35</f>
        <v>0</v>
      </c>
      <c r="C35" s="20">
        <f>'伤害统计(理想)'!C35</f>
        <v>0</v>
      </c>
      <c r="D35" s="20">
        <f>'伤害统计(理想)'!D35</f>
        <v>0</v>
      </c>
      <c r="E35" s="20">
        <f>'伤害统计(理想)'!E35</f>
        <v>0</v>
      </c>
      <c r="F35" s="20">
        <f>'伤害统计(理想)'!F35</f>
        <v>0</v>
      </c>
      <c r="G35" s="20">
        <f>'伤害统计(理想)'!G35</f>
        <v>0</v>
      </c>
      <c r="H35" s="20">
        <f>'伤害统计(理想)'!H35</f>
        <v>0</v>
      </c>
      <c r="I35" s="20">
        <f>'伤害统计(理想)'!I35</f>
        <v>0</v>
      </c>
      <c r="J35" s="20">
        <f>'伤害统计(理想)'!J35</f>
        <v>0</v>
      </c>
      <c r="K35" s="20">
        <f>'伤害统计(理想)'!K35</f>
        <v>0</v>
      </c>
      <c r="L35" s="20">
        <f>'伤害统计(理想)'!L35</f>
        <v>0</v>
      </c>
      <c r="M35" s="20">
        <f>'伤害统计(理想)'!M35</f>
        <v>0</v>
      </c>
      <c r="N35" s="20">
        <f>'伤害统计(理想)'!N35</f>
        <v>0</v>
      </c>
      <c r="O35" s="20">
        <f>'伤害统计(理想)'!O35</f>
        <v>0</v>
      </c>
      <c r="P35" s="20">
        <f>'伤害统计(理想)'!P35</f>
        <v>0</v>
      </c>
      <c r="Q35" s="20">
        <f>'伤害统计(理想)'!Q35</f>
        <v>0</v>
      </c>
      <c r="R35" s="20">
        <f>'伤害统计(理想)'!R35</f>
        <v>0</v>
      </c>
      <c r="S35" s="20">
        <f>'伤害统计(理想)'!S35</f>
        <v>0</v>
      </c>
      <c r="T35" s="20">
        <f>'伤害统计(理想)'!T35</f>
        <v>0</v>
      </c>
      <c r="U35" s="20">
        <f>'伤害统计(理想)'!U35</f>
        <v>0</v>
      </c>
      <c r="V35" s="20">
        <f>'伤害统计(理想)'!V35</f>
        <v>0</v>
      </c>
      <c r="W35" s="20">
        <f>'伤害统计(理想)'!W35</f>
        <v>0</v>
      </c>
      <c r="X35" s="20">
        <f>'伤害统计(理想)'!X35</f>
        <v>0</v>
      </c>
      <c r="Y35" s="20">
        <f>'伤害统计(理想)'!Y35</f>
        <v>0</v>
      </c>
      <c r="Z35" s="20">
        <f>'伤害统计(理想)'!Z35</f>
        <v>0</v>
      </c>
      <c r="AA35" s="20">
        <f>'伤害统计(理想)'!AA35</f>
        <v>0</v>
      </c>
      <c r="AB35" s="20">
        <f>'伤害统计(理想)'!AB35</f>
        <v>0</v>
      </c>
      <c r="AC35" s="29"/>
    </row>
    <row r="36" spans="1:29">
      <c r="A36" s="20">
        <f>'伤害统计(理想)'!A36</f>
        <v>0</v>
      </c>
      <c r="B36" s="20">
        <f>'伤害统计(理想)'!B36</f>
        <v>0</v>
      </c>
      <c r="C36" s="20">
        <f>'伤害统计(理想)'!C36</f>
        <v>0</v>
      </c>
      <c r="D36" s="20">
        <f>'伤害统计(理想)'!D36</f>
        <v>0</v>
      </c>
      <c r="E36" s="20">
        <f>'伤害统计(理想)'!E36</f>
        <v>0</v>
      </c>
      <c r="F36" s="20">
        <f>'伤害统计(理想)'!F36</f>
        <v>0</v>
      </c>
      <c r="G36" s="20">
        <f>'伤害统计(理想)'!G36</f>
        <v>0</v>
      </c>
      <c r="H36" s="20">
        <f>'伤害统计(理想)'!H36</f>
        <v>0</v>
      </c>
      <c r="I36" s="20">
        <f>'伤害统计(理想)'!I36</f>
        <v>0</v>
      </c>
      <c r="J36" s="20">
        <f>'伤害统计(理想)'!J36</f>
        <v>0</v>
      </c>
      <c r="K36" s="20">
        <f>'伤害统计(理想)'!K36</f>
        <v>0</v>
      </c>
      <c r="L36" s="20">
        <f>'伤害统计(理想)'!L36</f>
        <v>0</v>
      </c>
      <c r="M36" s="20">
        <f>'伤害统计(理想)'!M36</f>
        <v>0</v>
      </c>
      <c r="N36" s="20">
        <f>'伤害统计(理想)'!N36</f>
        <v>0</v>
      </c>
      <c r="O36" s="20">
        <f>'伤害统计(理想)'!O36</f>
        <v>0</v>
      </c>
      <c r="P36" s="20">
        <f>'伤害统计(理想)'!P36</f>
        <v>0</v>
      </c>
      <c r="Q36" s="20">
        <f>'伤害统计(理想)'!Q36</f>
        <v>0</v>
      </c>
      <c r="R36" s="20">
        <f>'伤害统计(理想)'!R36</f>
        <v>0</v>
      </c>
      <c r="S36" s="20">
        <f>'伤害统计(理想)'!S36</f>
        <v>0</v>
      </c>
      <c r="T36" s="20">
        <f>'伤害统计(理想)'!T36</f>
        <v>0</v>
      </c>
      <c r="U36" s="20">
        <f>'伤害统计(理想)'!U36</f>
        <v>0</v>
      </c>
      <c r="V36" s="20">
        <f>'伤害统计(理想)'!V36</f>
        <v>0</v>
      </c>
      <c r="W36" s="20">
        <f>'伤害统计(理想)'!W36</f>
        <v>0</v>
      </c>
      <c r="X36" s="20">
        <f>'伤害统计(理想)'!X36</f>
        <v>0</v>
      </c>
      <c r="Y36" s="20">
        <f>'伤害统计(理想)'!Y36</f>
        <v>0</v>
      </c>
      <c r="Z36" s="20">
        <f>'伤害统计(理想)'!Z36</f>
        <v>0</v>
      </c>
      <c r="AA36" s="20">
        <f>'伤害统计(理想)'!AA36</f>
        <v>0</v>
      </c>
      <c r="AB36" s="20">
        <f>'伤害统计(理想)'!AB36</f>
        <v>0</v>
      </c>
      <c r="AC36" s="29"/>
    </row>
    <row r="37" spans="1:29">
      <c r="A37" s="20">
        <f>'伤害统计(理想)'!A37</f>
        <v>0</v>
      </c>
      <c r="B37" s="20" t="str">
        <f>'伤害统计(理想)'!B37</f>
        <v>常规</v>
      </c>
      <c r="C37" s="20" t="str">
        <f>'伤害统计(理想)'!C37</f>
        <v>小紫</v>
      </c>
      <c r="D37" s="20" t="str">
        <f>'伤害统计(理想)'!D37</f>
        <v>大紫</v>
      </c>
      <c r="E37" s="20" t="str">
        <f>'伤害统计(理想)'!E37</f>
        <v>大紫会神</v>
      </c>
      <c r="F37" s="20" t="str">
        <f>'伤害统计(理想)'!F37</f>
        <v>腰坠常规</v>
      </c>
      <c r="G37" s="20" t="str">
        <f>'伤害统计(理想)'!G37</f>
        <v>腰坠小紫</v>
      </c>
      <c r="H37" s="20" t="str">
        <f>'伤害统计(理想)'!H37</f>
        <v>腰坠大紫</v>
      </c>
      <c r="I37" s="20" t="str">
        <f>'伤害统计(理想)'!I37</f>
        <v>腰坠大紫会神</v>
      </c>
      <c r="J37" s="20">
        <f>'伤害统计(理想)'!J37</f>
        <v>0</v>
      </c>
      <c r="K37" s="20">
        <f>'伤害统计(理想)'!K37</f>
        <v>0</v>
      </c>
      <c r="L37" s="20" t="str">
        <f>'伤害统计(理想)'!L37</f>
        <v>技能数统计</v>
      </c>
      <c r="M37" s="20" t="str">
        <f>'伤害统计(理想)'!M37</f>
        <v>不可修改</v>
      </c>
      <c r="N37" s="20">
        <f>'伤害统计(理想)'!N37</f>
        <v>0</v>
      </c>
      <c r="O37" s="20">
        <f>'伤害统计(理想)'!O37</f>
        <v>0</v>
      </c>
      <c r="P37" s="20">
        <f>'伤害统计(理想)'!P37</f>
        <v>0</v>
      </c>
      <c r="Q37" s="20">
        <f>'伤害统计(理想)'!Q37</f>
        <v>0</v>
      </c>
      <c r="R37" s="20">
        <f>'伤害统计(理想)'!R37</f>
        <v>0</v>
      </c>
      <c r="S37" s="20">
        <f>'伤害统计(理想)'!S37</f>
        <v>0</v>
      </c>
      <c r="T37" s="20">
        <f>'伤害统计(理想)'!T37</f>
        <v>0</v>
      </c>
      <c r="U37" s="20">
        <f>'伤害统计(理想)'!U37</f>
        <v>0</v>
      </c>
      <c r="V37" s="20">
        <f>'伤害统计(理想)'!V37</f>
        <v>0</v>
      </c>
      <c r="W37" s="20">
        <f>'伤害统计(理想)'!W37</f>
        <v>0</v>
      </c>
      <c r="X37" s="20">
        <f>'伤害统计(理想)'!X37</f>
        <v>0</v>
      </c>
      <c r="Y37" s="20">
        <f>'伤害统计(理想)'!Y37</f>
        <v>0</v>
      </c>
      <c r="Z37" s="20">
        <f>'伤害统计(理想)'!Z37</f>
        <v>0</v>
      </c>
      <c r="AA37" s="20">
        <f>'伤害统计(理想)'!AA37</f>
        <v>0</v>
      </c>
      <c r="AB37" s="20">
        <f>'伤害统计(理想)'!AB37</f>
        <v>0</v>
      </c>
      <c r="AC37" s="29"/>
    </row>
    <row r="38" spans="1:29">
      <c r="A38" s="20" t="str">
        <f>'伤害统计(理想)'!A38</f>
        <v>万世二段</v>
      </c>
      <c r="B38" s="20">
        <f>'伤害统计(理想)'!B38</f>
        <v>7</v>
      </c>
      <c r="C38" s="20">
        <f>'伤害统计(理想)'!C38</f>
        <v>0</v>
      </c>
      <c r="D38" s="20">
        <f>'伤害统计(理想)'!D38</f>
        <v>0</v>
      </c>
      <c r="E38" s="20">
        <f>'伤害统计(理想)'!E38</f>
        <v>0</v>
      </c>
      <c r="F38" s="20">
        <f>'伤害统计(理想)'!F38</f>
        <v>0</v>
      </c>
      <c r="G38" s="20">
        <f>'伤害统计(理想)'!G38</f>
        <v>0</v>
      </c>
      <c r="H38" s="20">
        <f>'伤害统计(理想)'!H38</f>
        <v>0</v>
      </c>
      <c r="I38" s="20">
        <f>'伤害统计(理想)'!I38</f>
        <v>0</v>
      </c>
      <c r="J38" s="20">
        <f>'伤害统计(理想)'!J38</f>
        <v>0</v>
      </c>
      <c r="K38" s="20">
        <f>'伤害统计(理想)'!K38</f>
        <v>7</v>
      </c>
      <c r="L38" s="20">
        <f>'伤害统计(理想)'!L38</f>
        <v>7</v>
      </c>
      <c r="M38" s="20">
        <f>'伤害统计(理想)'!M38</f>
        <v>7</v>
      </c>
      <c r="N38" s="20" t="str">
        <f>'伤害统计(理想)'!N38</f>
        <v>伤害统计</v>
      </c>
      <c r="O38" s="20">
        <f>'伤害统计(理想)'!O38</f>
        <v>0</v>
      </c>
      <c r="P38" s="20">
        <f>'伤害统计(理想)'!P38</f>
        <v>0</v>
      </c>
      <c r="Q38" s="20">
        <f>'伤害统计(理想)'!Q38</f>
        <v>0</v>
      </c>
      <c r="R38" s="20">
        <f>'伤害统计(理想)'!R38</f>
        <v>0</v>
      </c>
      <c r="S38" s="20">
        <f>'伤害统计(理想)'!S38</f>
        <v>0</v>
      </c>
      <c r="T38" s="20">
        <f>'伤害统计(理想)'!T38</f>
        <v>0</v>
      </c>
      <c r="U38" s="20">
        <f>'伤害统计(理想)'!U38</f>
        <v>0</v>
      </c>
      <c r="V38" s="20">
        <f>'伤害统计(理想)'!V38</f>
        <v>0</v>
      </c>
      <c r="W38" s="20">
        <f>'伤害统计(理想)'!W38</f>
        <v>0</v>
      </c>
      <c r="X38" s="20">
        <f>'伤害统计(理想)'!X38</f>
        <v>0</v>
      </c>
      <c r="Y38" s="20">
        <f>'伤害统计(理想)'!Y38</f>
        <v>0</v>
      </c>
      <c r="Z38" s="20">
        <f>'伤害统计(理想)'!Z38</f>
        <v>0</v>
      </c>
      <c r="AA38" s="20">
        <f>'伤害统计(理想)'!AA38</f>
        <v>0</v>
      </c>
      <c r="AB38" s="20">
        <f>'伤害统计(理想)'!AB38</f>
        <v>0</v>
      </c>
      <c r="AC38" s="29"/>
    </row>
    <row r="39" spans="1:29">
      <c r="A39" s="20" t="str">
        <f>'伤害统计(理想)'!A39</f>
        <v>飞剑1</v>
      </c>
      <c r="B39" s="20">
        <f>'伤害统计(理想)'!B39</f>
        <v>99</v>
      </c>
      <c r="C39" s="20">
        <f>'伤害统计(理想)'!C39</f>
        <v>0</v>
      </c>
      <c r="D39" s="20">
        <f>'伤害统计(理想)'!D39</f>
        <v>5</v>
      </c>
      <c r="E39" s="20">
        <f>'伤害统计(理想)'!E39</f>
        <v>10</v>
      </c>
      <c r="F39" s="20">
        <f>'伤害统计(理想)'!F39</f>
        <v>2</v>
      </c>
      <c r="G39" s="20">
        <f>'伤害统计(理想)'!G39</f>
        <v>0</v>
      </c>
      <c r="H39" s="20">
        <f>'伤害统计(理想)'!H39</f>
        <v>2</v>
      </c>
      <c r="I39" s="20">
        <f>'伤害统计(理想)'!I39</f>
        <v>4</v>
      </c>
      <c r="J39" s="20">
        <f>'伤害统计(理想)'!J39</f>
        <v>0</v>
      </c>
      <c r="K39" s="20">
        <f>'伤害统计(理想)'!K39</f>
        <v>122</v>
      </c>
      <c r="L39" s="20">
        <f>'伤害统计(理想)'!L39</f>
        <v>610</v>
      </c>
      <c r="M39" s="20">
        <f>'伤害统计(理想)'!M39</f>
        <v>115</v>
      </c>
      <c r="N39" s="20">
        <f>'伤害统计(理想)'!N39</f>
        <v>0</v>
      </c>
      <c r="O39" s="20" t="str">
        <f>'伤害统计(理想)'!O39</f>
        <v>技能名称</v>
      </c>
      <c r="P39" s="20" t="str">
        <f>'伤害统计(理想)'!P39</f>
        <v>次数</v>
      </c>
      <c r="Q39" s="20" t="str">
        <f>'伤害统计(理想)'!Q39</f>
        <v>正常伤害</v>
      </c>
      <c r="R39" s="20" t="str">
        <f>'伤害统计(理想)'!R39</f>
        <v>伤害占比</v>
      </c>
      <c r="S39" s="20">
        <f>'伤害统计(理想)'!S39</f>
        <v>0</v>
      </c>
      <c r="T39" s="20">
        <f>'伤害统计(理想)'!T39</f>
        <v>0</v>
      </c>
      <c r="U39" s="20">
        <f>'伤害统计(理想)'!U39</f>
        <v>0</v>
      </c>
      <c r="V39" s="20">
        <f>'伤害统计(理想)'!V39</f>
        <v>0</v>
      </c>
      <c r="W39" s="20">
        <f>'伤害统计(理想)'!W39</f>
        <v>0</v>
      </c>
      <c r="X39" s="20">
        <f>'伤害统计(理想)'!X39</f>
        <v>0</v>
      </c>
      <c r="Y39" s="20">
        <f>'伤害统计(理想)'!Y39</f>
        <v>0</v>
      </c>
      <c r="Z39" s="20">
        <f>'伤害统计(理想)'!Z39</f>
        <v>0</v>
      </c>
      <c r="AA39" s="20">
        <f>'伤害统计(理想)'!AA39</f>
        <v>0</v>
      </c>
      <c r="AB39" s="20">
        <f>'伤害统计(理想)'!AB39</f>
        <v>0</v>
      </c>
      <c r="AC39" s="29"/>
    </row>
    <row r="40" spans="1:29">
      <c r="A40" s="20" t="str">
        <f>'伤害统计(理想)'!A40</f>
        <v>飞剑2</v>
      </c>
      <c r="B40" s="20">
        <f>'伤害统计(理想)'!B40</f>
        <v>99</v>
      </c>
      <c r="C40" s="20">
        <f>'伤害统计(理想)'!C40</f>
        <v>0</v>
      </c>
      <c r="D40" s="20">
        <f>'伤害统计(理想)'!D40</f>
        <v>5</v>
      </c>
      <c r="E40" s="20">
        <f>'伤害统计(理想)'!E40</f>
        <v>10</v>
      </c>
      <c r="F40" s="20">
        <f>'伤害统计(理想)'!F40</f>
        <v>2</v>
      </c>
      <c r="G40" s="20">
        <f>'伤害统计(理想)'!G40</f>
        <v>0</v>
      </c>
      <c r="H40" s="20">
        <f>'伤害统计(理想)'!H40</f>
        <v>2</v>
      </c>
      <c r="I40" s="20">
        <f>'伤害统计(理想)'!I40</f>
        <v>4</v>
      </c>
      <c r="J40" s="20">
        <f>'伤害统计(理想)'!J40</f>
        <v>0</v>
      </c>
      <c r="K40" s="20">
        <f>'伤害统计(理想)'!K40</f>
        <v>122</v>
      </c>
      <c r="L40" s="20">
        <f>'伤害统计(理想)'!L40</f>
        <v>0</v>
      </c>
      <c r="M40" s="20">
        <f>'伤害统计(理想)'!M40</f>
        <v>0</v>
      </c>
      <c r="N40" s="20">
        <f>'伤害统计(理想)'!N40</f>
        <v>1</v>
      </c>
      <c r="O40" s="20" t="str">
        <f>'伤害统计(理想)'!O40</f>
        <v>破</v>
      </c>
      <c r="P40" s="20">
        <f>'伤害统计(理想)'!P40</f>
        <v>91</v>
      </c>
      <c r="Q40" s="20">
        <f>'伤害统计(理想)'!Q40</f>
        <v>50882445</v>
      </c>
      <c r="R40" s="20">
        <f>'伤害统计(理想)'!R40</f>
        <v>0.235591999359747</v>
      </c>
      <c r="S40" s="20">
        <f>'伤害统计(理想)'!S40</f>
        <v>0</v>
      </c>
      <c r="T40" s="20">
        <f>'伤害统计(理想)'!T40</f>
        <v>0</v>
      </c>
      <c r="U40" s="20">
        <f>'伤害统计(理想)'!U40</f>
        <v>0</v>
      </c>
      <c r="V40" s="20">
        <f>'伤害统计(理想)'!V40</f>
        <v>0</v>
      </c>
      <c r="W40" s="20">
        <f>'伤害统计(理想)'!W40</f>
        <v>0</v>
      </c>
      <c r="X40" s="20">
        <f>'伤害统计(理想)'!X40</f>
        <v>0</v>
      </c>
      <c r="Y40" s="20">
        <f>'伤害统计(理想)'!Y40</f>
        <v>0</v>
      </c>
      <c r="Z40" s="20">
        <f>'伤害统计(理想)'!Z40</f>
        <v>0</v>
      </c>
      <c r="AA40" s="20">
        <f>'伤害统计(理想)'!AA40</f>
        <v>0</v>
      </c>
      <c r="AB40" s="20">
        <f>'伤害统计(理想)'!AB40</f>
        <v>0</v>
      </c>
      <c r="AC40" s="29"/>
    </row>
    <row r="41" spans="1:29">
      <c r="A41" s="20" t="str">
        <f>'伤害统计(理想)'!A41</f>
        <v>飞剑3</v>
      </c>
      <c r="B41" s="20">
        <f>'伤害统计(理想)'!B41</f>
        <v>99</v>
      </c>
      <c r="C41" s="20">
        <f>'伤害统计(理想)'!C41</f>
        <v>0</v>
      </c>
      <c r="D41" s="20">
        <f>'伤害统计(理想)'!D41</f>
        <v>5</v>
      </c>
      <c r="E41" s="20">
        <f>'伤害统计(理想)'!E41</f>
        <v>10</v>
      </c>
      <c r="F41" s="20">
        <f>'伤害统计(理想)'!F41</f>
        <v>2</v>
      </c>
      <c r="G41" s="20">
        <f>'伤害统计(理想)'!G41</f>
        <v>0</v>
      </c>
      <c r="H41" s="20">
        <f>'伤害统计(理想)'!H41</f>
        <v>2</v>
      </c>
      <c r="I41" s="20">
        <f>'伤害统计(理想)'!I41</f>
        <v>4</v>
      </c>
      <c r="J41" s="20">
        <f>'伤害统计(理想)'!J41</f>
        <v>0</v>
      </c>
      <c r="K41" s="20">
        <f>'伤害统计(理想)'!K41</f>
        <v>122</v>
      </c>
      <c r="L41" s="20">
        <f>'伤害统计(理想)'!L41</f>
        <v>0</v>
      </c>
      <c r="M41" s="20">
        <f>'伤害统计(理想)'!M41</f>
        <v>0</v>
      </c>
      <c r="N41" s="20">
        <f>'伤害统计(理想)'!N41</f>
        <v>2</v>
      </c>
      <c r="O41" s="20" t="str">
        <f>'伤害统计(理想)'!O41</f>
        <v>飞剑</v>
      </c>
      <c r="P41" s="20">
        <f>'伤害统计(理想)'!P41</f>
        <v>610</v>
      </c>
      <c r="Q41" s="20">
        <f>'伤害统计(理想)'!Q41</f>
        <v>67946513</v>
      </c>
      <c r="R41" s="20">
        <f>'伤害统计(理想)'!R41</f>
        <v>0.314600739944651</v>
      </c>
      <c r="S41" s="20">
        <f>'伤害统计(理想)'!S41</f>
        <v>0</v>
      </c>
      <c r="T41" s="20">
        <f>'伤害统计(理想)'!T41</f>
        <v>0</v>
      </c>
      <c r="U41" s="20">
        <f>'伤害统计(理想)'!U41</f>
        <v>0</v>
      </c>
      <c r="V41" s="20">
        <f>'伤害统计(理想)'!V41</f>
        <v>0</v>
      </c>
      <c r="W41" s="20">
        <f>'伤害统计(理想)'!W41</f>
        <v>0</v>
      </c>
      <c r="X41" s="20">
        <f>'伤害统计(理想)'!X41</f>
        <v>0</v>
      </c>
      <c r="Y41" s="20">
        <f>'伤害统计(理想)'!Y41</f>
        <v>0</v>
      </c>
      <c r="Z41" s="20">
        <f>'伤害统计(理想)'!Z41</f>
        <v>0</v>
      </c>
      <c r="AA41" s="20">
        <f>'伤害统计(理想)'!AA41</f>
        <v>0</v>
      </c>
      <c r="AB41" s="20">
        <f>'伤害统计(理想)'!AB41</f>
        <v>0</v>
      </c>
      <c r="AC41" s="29"/>
    </row>
    <row r="42" spans="1:29">
      <c r="A42" s="20" t="str">
        <f>'伤害统计(理想)'!A42</f>
        <v>飞剑4</v>
      </c>
      <c r="B42" s="20">
        <f>'伤害统计(理想)'!B42</f>
        <v>99</v>
      </c>
      <c r="C42" s="20">
        <f>'伤害统计(理想)'!C42</f>
        <v>0</v>
      </c>
      <c r="D42" s="20">
        <f>'伤害统计(理想)'!D42</f>
        <v>5</v>
      </c>
      <c r="E42" s="20">
        <f>'伤害统计(理想)'!E42</f>
        <v>10</v>
      </c>
      <c r="F42" s="20">
        <f>'伤害统计(理想)'!F42</f>
        <v>2</v>
      </c>
      <c r="G42" s="20">
        <f>'伤害统计(理想)'!G42</f>
        <v>0</v>
      </c>
      <c r="H42" s="20">
        <f>'伤害统计(理想)'!H42</f>
        <v>2</v>
      </c>
      <c r="I42" s="20">
        <f>'伤害统计(理想)'!I42</f>
        <v>4</v>
      </c>
      <c r="J42" s="20">
        <f>'伤害统计(理想)'!J42</f>
        <v>0</v>
      </c>
      <c r="K42" s="20">
        <f>'伤害统计(理想)'!K42</f>
        <v>122</v>
      </c>
      <c r="L42" s="20">
        <f>'伤害统计(理想)'!L42</f>
        <v>0</v>
      </c>
      <c r="M42" s="20">
        <f>'伤害统计(理想)'!M42</f>
        <v>0</v>
      </c>
      <c r="N42" s="20">
        <f>'伤害统计(理想)'!N42</f>
        <v>3</v>
      </c>
      <c r="O42" s="20" t="str">
        <f>'伤害统计(理想)'!O42</f>
        <v>两仪</v>
      </c>
      <c r="P42" s="20">
        <f>'伤害统计(理想)'!P42</f>
        <v>84</v>
      </c>
      <c r="Q42" s="20">
        <f>'伤害统计(理想)'!Q42</f>
        <v>28818379</v>
      </c>
      <c r="R42" s="20">
        <f>'伤害统计(理想)'!R42</f>
        <v>0.133432651023687</v>
      </c>
      <c r="S42" s="20">
        <f>'伤害统计(理想)'!S42</f>
        <v>0</v>
      </c>
      <c r="T42" s="20">
        <f>'伤害统计(理想)'!T42</f>
        <v>0</v>
      </c>
      <c r="U42" s="20">
        <f>'伤害统计(理想)'!U42</f>
        <v>0</v>
      </c>
      <c r="V42" s="20">
        <f>'伤害统计(理想)'!V42</f>
        <v>0</v>
      </c>
      <c r="W42" s="20">
        <f>'伤害统计(理想)'!W42</f>
        <v>0</v>
      </c>
      <c r="X42" s="20">
        <f>'伤害统计(理想)'!X42</f>
        <v>0</v>
      </c>
      <c r="Y42" s="20">
        <f>'伤害统计(理想)'!Y42</f>
        <v>0</v>
      </c>
      <c r="Z42" s="20">
        <f>'伤害统计(理想)'!Z42</f>
        <v>0</v>
      </c>
      <c r="AA42" s="20">
        <f>'伤害统计(理想)'!AA42</f>
        <v>0</v>
      </c>
      <c r="AB42" s="20">
        <f>'伤害统计(理想)'!AB42</f>
        <v>0</v>
      </c>
      <c r="AC42" s="29"/>
    </row>
    <row r="43" spans="1:29">
      <c r="A43" s="20" t="str">
        <f>'伤害统计(理想)'!A43</f>
        <v>飞剑5</v>
      </c>
      <c r="B43" s="20">
        <f>'伤害统计(理想)'!B43</f>
        <v>99</v>
      </c>
      <c r="C43" s="20">
        <f>'伤害统计(理想)'!C43</f>
        <v>0</v>
      </c>
      <c r="D43" s="20">
        <f>'伤害统计(理想)'!D43</f>
        <v>5</v>
      </c>
      <c r="E43" s="20">
        <f>'伤害统计(理想)'!E43</f>
        <v>10</v>
      </c>
      <c r="F43" s="20">
        <f>'伤害统计(理想)'!F43</f>
        <v>2</v>
      </c>
      <c r="G43" s="20">
        <f>'伤害统计(理想)'!G43</f>
        <v>0</v>
      </c>
      <c r="H43" s="20">
        <f>'伤害统计(理想)'!H43</f>
        <v>2</v>
      </c>
      <c r="I43" s="20">
        <f>'伤害统计(理想)'!I43</f>
        <v>4</v>
      </c>
      <c r="J43" s="20">
        <f>'伤害统计(理想)'!J43</f>
        <v>0</v>
      </c>
      <c r="K43" s="20">
        <f>'伤害统计(理想)'!K43</f>
        <v>122</v>
      </c>
      <c r="L43" s="20">
        <f>'伤害统计(理想)'!L43</f>
        <v>0</v>
      </c>
      <c r="M43" s="20">
        <f>'伤害统计(理想)'!M43</f>
        <v>0</v>
      </c>
      <c r="N43" s="20">
        <f>'伤害统计(理想)'!N43</f>
        <v>4</v>
      </c>
      <c r="O43" s="20" t="str">
        <f>'伤害统计(理想)'!O43</f>
        <v>颠越苍穹击</v>
      </c>
      <c r="P43" s="20">
        <f>'伤害统计(理想)'!P43</f>
        <v>168</v>
      </c>
      <c r="Q43" s="20">
        <f>'伤害统计(理想)'!Q43</f>
        <v>21612014</v>
      </c>
      <c r="R43" s="20">
        <f>'伤害统计(理想)'!R43</f>
        <v>0.100066291791812</v>
      </c>
      <c r="S43" s="20">
        <f>'伤害统计(理想)'!S43</f>
        <v>0</v>
      </c>
      <c r="T43" s="20">
        <f>'伤害统计(理想)'!T43</f>
        <v>0</v>
      </c>
      <c r="U43" s="20">
        <f>'伤害统计(理想)'!U43</f>
        <v>0</v>
      </c>
      <c r="V43" s="20">
        <f>'伤害统计(理想)'!V43</f>
        <v>0</v>
      </c>
      <c r="W43" s="20">
        <f>'伤害统计(理想)'!W43</f>
        <v>0</v>
      </c>
      <c r="X43" s="20">
        <f>'伤害统计(理想)'!X43</f>
        <v>0</v>
      </c>
      <c r="Y43" s="20">
        <f>'伤害统计(理想)'!Y43</f>
        <v>0</v>
      </c>
      <c r="Z43" s="20">
        <f>'伤害统计(理想)'!Z43</f>
        <v>0</v>
      </c>
      <c r="AA43" s="20">
        <f>'伤害统计(理想)'!AA43</f>
        <v>0</v>
      </c>
      <c r="AB43" s="20">
        <f>'伤害统计(理想)'!AB43</f>
        <v>0</v>
      </c>
      <c r="AC43" s="29"/>
    </row>
    <row r="44" spans="1:29">
      <c r="A44" s="20" t="str">
        <f>'伤害统计(理想)'!A44</f>
        <v>颠越苍穹击</v>
      </c>
      <c r="B44" s="20">
        <f>'伤害统计(理想)'!B44</f>
        <v>28</v>
      </c>
      <c r="C44" s="20">
        <f>'伤害统计(理想)'!C44</f>
        <v>0</v>
      </c>
      <c r="D44" s="20">
        <f>'伤害统计(理想)'!D44</f>
        <v>0</v>
      </c>
      <c r="E44" s="20">
        <f>'伤害统计(理想)'!E44</f>
        <v>100</v>
      </c>
      <c r="F44" s="20">
        <f>'伤害统计(理想)'!F44</f>
        <v>0</v>
      </c>
      <c r="G44" s="20">
        <f>'伤害统计(理想)'!G44</f>
        <v>0</v>
      </c>
      <c r="H44" s="20">
        <f>'伤害统计(理想)'!H44</f>
        <v>0</v>
      </c>
      <c r="I44" s="20">
        <f>'伤害统计(理想)'!I44</f>
        <v>40</v>
      </c>
      <c r="J44" s="20">
        <f>'伤害统计(理想)'!J44</f>
        <v>0</v>
      </c>
      <c r="K44" s="20">
        <f>'伤害统计(理想)'!K44</f>
        <v>168</v>
      </c>
      <c r="L44" s="20">
        <f>'伤害统计(理想)'!L44</f>
        <v>168</v>
      </c>
      <c r="M44" s="20">
        <f>'伤害统计(理想)'!M44</f>
        <v>168</v>
      </c>
      <c r="N44" s="20">
        <f>'伤害统计(理想)'!N44</f>
        <v>5</v>
      </c>
      <c r="O44" s="20" t="str">
        <f>'伤害统计(理想)'!O44</f>
        <v>六合</v>
      </c>
      <c r="P44" s="20">
        <f>'伤害统计(理想)'!P44</f>
        <v>93</v>
      </c>
      <c r="Q44" s="20">
        <f>'伤害统计(理想)'!Q44</f>
        <v>13289482</v>
      </c>
      <c r="R44" s="20">
        <f>'伤害统计(理想)'!R44</f>
        <v>0.0615319416123844</v>
      </c>
      <c r="S44" s="20">
        <f>'伤害统计(理想)'!S44</f>
        <v>0</v>
      </c>
      <c r="T44" s="20">
        <f>'伤害统计(理想)'!T44</f>
        <v>0</v>
      </c>
      <c r="U44" s="20">
        <f>'伤害统计(理想)'!U44</f>
        <v>0</v>
      </c>
      <c r="V44" s="20">
        <f>'伤害统计(理想)'!V44</f>
        <v>0</v>
      </c>
      <c r="W44" s="20">
        <f>'伤害统计(理想)'!W44</f>
        <v>0</v>
      </c>
      <c r="X44" s="20">
        <f>'伤害统计(理想)'!X44</f>
        <v>0</v>
      </c>
      <c r="Y44" s="20">
        <f>'伤害统计(理想)'!Y44</f>
        <v>0</v>
      </c>
      <c r="Z44" s="20">
        <f>'伤害统计(理想)'!Z44</f>
        <v>0</v>
      </c>
      <c r="AA44" s="20">
        <f>'伤害统计(理想)'!AA44</f>
        <v>0</v>
      </c>
      <c r="AB44" s="20">
        <f>'伤害统计(理想)'!AB44</f>
        <v>0</v>
      </c>
      <c r="AC44" s="29"/>
    </row>
    <row r="45" spans="1:29">
      <c r="A45" s="20" t="str">
        <f>'伤害统计(理想)'!A45</f>
        <v>五方行尽</v>
      </c>
      <c r="B45" s="20">
        <f>'伤害统计(理想)'!B45</f>
        <v>7</v>
      </c>
      <c r="C45" s="20">
        <f>'伤害统计(理想)'!C45</f>
        <v>0</v>
      </c>
      <c r="D45" s="20">
        <f>'伤害统计(理想)'!D45</f>
        <v>0</v>
      </c>
      <c r="E45" s="20">
        <f>'伤害统计(理想)'!E45</f>
        <v>0</v>
      </c>
      <c r="F45" s="20">
        <f>'伤害统计(理想)'!F45</f>
        <v>0</v>
      </c>
      <c r="G45" s="20">
        <f>'伤害统计(理想)'!G45</f>
        <v>0</v>
      </c>
      <c r="H45" s="20">
        <f>'伤害统计(理想)'!H45</f>
        <v>0</v>
      </c>
      <c r="I45" s="20">
        <f>'伤害统计(理想)'!I45</f>
        <v>0</v>
      </c>
      <c r="J45" s="20">
        <f>'伤害统计(理想)'!J45</f>
        <v>0</v>
      </c>
      <c r="K45" s="20">
        <f>'伤害统计(理想)'!K45</f>
        <v>7</v>
      </c>
      <c r="L45" s="20">
        <f>'伤害统计(理想)'!L45</f>
        <v>7</v>
      </c>
      <c r="M45" s="20">
        <f>'伤害统计(理想)'!M45</f>
        <v>0</v>
      </c>
      <c r="N45" s="20">
        <f>'伤害统计(理想)'!N45</f>
        <v>6</v>
      </c>
      <c r="O45" s="20" t="str">
        <f>'伤害统计(理想)'!O45</f>
        <v>四象</v>
      </c>
      <c r="P45" s="20">
        <f>'伤害统计(理想)'!P45</f>
        <v>65</v>
      </c>
      <c r="Q45" s="20">
        <f>'伤害统计(理想)'!Q45</f>
        <v>26849390</v>
      </c>
      <c r="R45" s="20">
        <f>'伤害统计(理想)'!R45</f>
        <v>0.124315988975954</v>
      </c>
      <c r="S45" s="20">
        <f>'伤害统计(理想)'!S45</f>
        <v>0</v>
      </c>
      <c r="T45" s="20">
        <f>'伤害统计(理想)'!T45</f>
        <v>0</v>
      </c>
      <c r="U45" s="20">
        <f>'伤害统计(理想)'!U45</f>
        <v>0</v>
      </c>
      <c r="V45" s="20">
        <f>'伤害统计(理想)'!V45</f>
        <v>0</v>
      </c>
      <c r="W45" s="20">
        <f>'伤害统计(理想)'!W45</f>
        <v>0</v>
      </c>
      <c r="X45" s="20">
        <f>'伤害统计(理想)'!X45</f>
        <v>0</v>
      </c>
      <c r="Y45" s="20">
        <f>'伤害统计(理想)'!Y45</f>
        <v>0</v>
      </c>
      <c r="Z45" s="20">
        <f>'伤害统计(理想)'!Z45</f>
        <v>0</v>
      </c>
      <c r="AA45" s="20">
        <f>'伤害统计(理想)'!AA45</f>
        <v>0</v>
      </c>
      <c r="AB45" s="20">
        <f>'伤害统计(理想)'!AB45</f>
        <v>0</v>
      </c>
      <c r="AC45" s="29"/>
    </row>
    <row r="46" spans="1:29">
      <c r="A46" s="20" t="str">
        <f>'伤害统计(理想)'!A46</f>
        <v>四象轮回</v>
      </c>
      <c r="B46" s="20">
        <f>'伤害统计(理想)'!B46</f>
        <v>42</v>
      </c>
      <c r="C46" s="20">
        <f>'伤害统计(理想)'!C46</f>
        <v>0</v>
      </c>
      <c r="D46" s="20">
        <f>'伤害统计(理想)'!D46</f>
        <v>5</v>
      </c>
      <c r="E46" s="20">
        <f>'伤害统计(理想)'!E46</f>
        <v>10</v>
      </c>
      <c r="F46" s="20">
        <f>'伤害统计(理想)'!F46</f>
        <v>2</v>
      </c>
      <c r="G46" s="20">
        <f>'伤害统计(理想)'!G46</f>
        <v>0</v>
      </c>
      <c r="H46" s="20">
        <f>'伤害统计(理想)'!H46</f>
        <v>2</v>
      </c>
      <c r="I46" s="20">
        <f>'伤害统计(理想)'!I46</f>
        <v>4</v>
      </c>
      <c r="J46" s="20">
        <f>'伤害统计(理想)'!J46</f>
        <v>0</v>
      </c>
      <c r="K46" s="20">
        <f>'伤害统计(理想)'!K46</f>
        <v>65</v>
      </c>
      <c r="L46" s="20">
        <f>'伤害统计(理想)'!L46</f>
        <v>65</v>
      </c>
      <c r="M46" s="20">
        <f>'伤害统计(理想)'!M46</f>
        <v>0</v>
      </c>
      <c r="N46" s="20">
        <f>'伤害统计(理想)'!N46</f>
        <v>7</v>
      </c>
      <c r="O46" s="20" t="str">
        <f>'伤害统计(理想)'!O46</f>
        <v>万世不竭</v>
      </c>
      <c r="P46" s="20">
        <f>'伤害统计(理想)'!P46</f>
        <v>7</v>
      </c>
      <c r="Q46" s="20">
        <f>'伤害统计(理想)'!Q46</f>
        <v>4554092</v>
      </c>
      <c r="R46" s="20">
        <f>'伤害统计(理想)'!R46</f>
        <v>0.0210860079453381</v>
      </c>
      <c r="S46" s="20">
        <f>'伤害统计(理想)'!S46</f>
        <v>0</v>
      </c>
      <c r="T46" s="20">
        <f>'伤害统计(理想)'!T46</f>
        <v>0</v>
      </c>
      <c r="U46" s="20">
        <f>'伤害统计(理想)'!U46</f>
        <v>0</v>
      </c>
      <c r="V46" s="20">
        <f>'伤害统计(理想)'!V46</f>
        <v>0</v>
      </c>
      <c r="W46" s="20">
        <f>'伤害统计(理想)'!W46</f>
        <v>0</v>
      </c>
      <c r="X46" s="20">
        <f>'伤害统计(理想)'!X46</f>
        <v>0</v>
      </c>
      <c r="Y46" s="20">
        <f>'伤害统计(理想)'!Y46</f>
        <v>0</v>
      </c>
      <c r="Z46" s="20">
        <f>'伤害统计(理想)'!Z46</f>
        <v>0</v>
      </c>
      <c r="AA46" s="20">
        <f>'伤害统计(理想)'!AA46</f>
        <v>0</v>
      </c>
      <c r="AB46" s="20">
        <f>'伤害统计(理想)'!AB46</f>
        <v>0</v>
      </c>
      <c r="AC46" s="32"/>
    </row>
    <row r="47" spans="1:29">
      <c r="A47" s="20" t="str">
        <f>'伤害统计(理想)'!A47</f>
        <v>两仪化形(5)</v>
      </c>
      <c r="B47" s="20">
        <f>'伤害统计(理想)'!B47</f>
        <v>42</v>
      </c>
      <c r="C47" s="20">
        <f>'伤害统计(理想)'!C47</f>
        <v>0</v>
      </c>
      <c r="D47" s="20">
        <f>'伤害统计(理想)'!D47</f>
        <v>5</v>
      </c>
      <c r="E47" s="20">
        <f>'伤害统计(理想)'!E47</f>
        <v>15</v>
      </c>
      <c r="F47" s="20">
        <f>'伤害统计(理想)'!F47</f>
        <v>2</v>
      </c>
      <c r="G47" s="20">
        <f>'伤害统计(理想)'!G47</f>
        <v>0</v>
      </c>
      <c r="H47" s="20">
        <f>'伤害统计(理想)'!H47</f>
        <v>2</v>
      </c>
      <c r="I47" s="20">
        <f>'伤害统计(理想)'!I47</f>
        <v>6</v>
      </c>
      <c r="J47" s="20">
        <f>'伤害统计(理想)'!J47</f>
        <v>0</v>
      </c>
      <c r="K47" s="20">
        <f>'伤害统计(理想)'!K47</f>
        <v>72</v>
      </c>
      <c r="L47" s="20">
        <f>'伤害统计(理想)'!L47</f>
        <v>84</v>
      </c>
      <c r="M47" s="20">
        <f>'伤害统计(理想)'!M47</f>
        <v>30</v>
      </c>
      <c r="N47" s="20">
        <f>'伤害统计(理想)'!N47</f>
        <v>8</v>
      </c>
      <c r="O47" s="20" t="str">
        <f>'伤害统计(理想)'!O47</f>
        <v>空啸太玄剑</v>
      </c>
      <c r="P47" s="20">
        <f>'伤害统计(理想)'!P47</f>
        <v>0</v>
      </c>
      <c r="Q47" s="20">
        <f>'伤害统计(理想)'!Q47</f>
        <v>0</v>
      </c>
      <c r="R47" s="20">
        <f>'伤害统计(理想)'!R47</f>
        <v>0</v>
      </c>
      <c r="S47" s="20">
        <f>'伤害统计(理想)'!S47</f>
        <v>0</v>
      </c>
      <c r="T47" s="20">
        <f>'伤害统计(理想)'!T47</f>
        <v>0</v>
      </c>
      <c r="U47" s="20">
        <f>'伤害统计(理想)'!U47</f>
        <v>0</v>
      </c>
      <c r="V47" s="20">
        <f>'伤害统计(理想)'!V47</f>
        <v>0</v>
      </c>
      <c r="W47" s="20">
        <f>'伤害统计(理想)'!W47</f>
        <v>0</v>
      </c>
      <c r="X47" s="20">
        <f>'伤害统计(理想)'!X47</f>
        <v>0</v>
      </c>
      <c r="Y47" s="20">
        <f>'伤害统计(理想)'!Y47</f>
        <v>0</v>
      </c>
      <c r="Z47" s="20">
        <f>'伤害统计(理想)'!Z47</f>
        <v>0</v>
      </c>
      <c r="AA47" s="20">
        <f>'伤害统计(理想)'!AA47</f>
        <v>0</v>
      </c>
      <c r="AB47" s="20">
        <f>'伤害统计(理想)'!AB47</f>
        <v>0</v>
      </c>
      <c r="AC47" s="29"/>
    </row>
    <row r="48" spans="1:29">
      <c r="A48" s="20" t="str">
        <f>'伤害统计(理想)'!A48</f>
        <v>两仪化形(4</v>
      </c>
      <c r="B48" s="20">
        <f>'伤害统计(理想)'!B48</f>
        <v>12</v>
      </c>
      <c r="C48" s="20">
        <f>'伤害统计(理想)'!C48</f>
        <v>0</v>
      </c>
      <c r="D48" s="20">
        <f>'伤害统计(理想)'!D48</f>
        <v>0</v>
      </c>
      <c r="E48" s="20">
        <f>'伤害统计(理想)'!E48</f>
        <v>0</v>
      </c>
      <c r="F48" s="20">
        <f>'伤害统计(理想)'!F48</f>
        <v>0</v>
      </c>
      <c r="G48" s="20">
        <f>'伤害统计(理想)'!G48</f>
        <v>0</v>
      </c>
      <c r="H48" s="20">
        <f>'伤害统计(理想)'!H48</f>
        <v>0</v>
      </c>
      <c r="I48" s="20">
        <f>'伤害统计(理想)'!I48</f>
        <v>0</v>
      </c>
      <c r="J48" s="20">
        <f>'伤害统计(理想)'!J48</f>
        <v>0</v>
      </c>
      <c r="K48" s="20">
        <f>'伤害统计(理想)'!K48</f>
        <v>12</v>
      </c>
      <c r="L48" s="20">
        <f>'伤害统计(理想)'!L48</f>
        <v>0</v>
      </c>
      <c r="M48" s="20">
        <f>'伤害统计(理想)'!M48</f>
        <v>0</v>
      </c>
      <c r="N48" s="20">
        <f>'伤害统计(理想)'!N48</f>
        <v>9</v>
      </c>
      <c r="O48" s="20" t="str">
        <f>'伤害统计(理想)'!O48</f>
        <v>白鹤舒翅</v>
      </c>
      <c r="P48" s="20">
        <f>'伤害统计(理想)'!P48</f>
        <v>0</v>
      </c>
      <c r="Q48" s="20">
        <f>'伤害统计(理想)'!Q48</f>
        <v>0</v>
      </c>
      <c r="R48" s="20">
        <f>'伤害统计(理想)'!R48</f>
        <v>0</v>
      </c>
      <c r="S48" s="20">
        <f>'伤害统计(理想)'!S48</f>
        <v>0</v>
      </c>
      <c r="T48" s="20">
        <f>'伤害统计(理想)'!T48</f>
        <v>0</v>
      </c>
      <c r="U48" s="20">
        <f>'伤害统计(理想)'!U48</f>
        <v>0</v>
      </c>
      <c r="V48" s="20">
        <f>'伤害统计(理想)'!V48</f>
        <v>0</v>
      </c>
      <c r="W48" s="20">
        <f>'伤害统计(理想)'!W48</f>
        <v>0</v>
      </c>
      <c r="X48" s="20">
        <f>'伤害统计(理想)'!X48</f>
        <v>0</v>
      </c>
      <c r="Y48" s="20">
        <f>'伤害统计(理想)'!Y48</f>
        <v>0</v>
      </c>
      <c r="Z48" s="20">
        <f>'伤害统计(理想)'!Z48</f>
        <v>0</v>
      </c>
      <c r="AA48" s="20">
        <f>'伤害统计(理想)'!AA48</f>
        <v>0</v>
      </c>
      <c r="AB48" s="20">
        <f>'伤害统计(理想)'!AB48</f>
        <v>0</v>
      </c>
      <c r="AC48" s="29"/>
    </row>
    <row r="49" ht="17.25" spans="1:39">
      <c r="A49" s="20" t="str">
        <f>'伤害统计(理想)'!A49</f>
        <v>两仪化形(3.5</v>
      </c>
      <c r="B49" s="20">
        <f>'伤害统计(理想)'!B49</f>
        <v>0</v>
      </c>
      <c r="C49" s="20">
        <f>'伤害统计(理想)'!C49</f>
        <v>0</v>
      </c>
      <c r="D49" s="20">
        <f>'伤害统计(理想)'!D49</f>
        <v>0</v>
      </c>
      <c r="E49" s="20">
        <f>'伤害统计(理想)'!E49</f>
        <v>0</v>
      </c>
      <c r="F49" s="20">
        <f>'伤害统计(理想)'!F49</f>
        <v>0</v>
      </c>
      <c r="G49" s="20">
        <f>'伤害统计(理想)'!G49</f>
        <v>0</v>
      </c>
      <c r="H49" s="20">
        <f>'伤害统计(理想)'!H49</f>
        <v>0</v>
      </c>
      <c r="I49" s="20">
        <f>'伤害统计(理想)'!I49</f>
        <v>0</v>
      </c>
      <c r="J49" s="20">
        <f>'伤害统计(理想)'!J49</f>
        <v>0</v>
      </c>
      <c r="K49" s="20">
        <f>'伤害统计(理想)'!K49</f>
        <v>0</v>
      </c>
      <c r="L49" s="20">
        <f>'伤害统计(理想)'!L49</f>
        <v>0</v>
      </c>
      <c r="M49" s="20">
        <f>'伤害统计(理想)'!M49</f>
        <v>0</v>
      </c>
      <c r="N49" s="20">
        <f>'伤害统计(理想)'!N49</f>
        <v>10</v>
      </c>
      <c r="O49" s="20" t="str">
        <f>'伤害统计(理想)'!O49</f>
        <v>厚亡</v>
      </c>
      <c r="P49" s="20">
        <f>'伤害统计(理想)'!P49</f>
        <v>0</v>
      </c>
      <c r="Q49" s="20">
        <f>'伤害统计(理想)'!Q49</f>
        <v>0</v>
      </c>
      <c r="R49" s="20">
        <f>'伤害统计(理想)'!R49</f>
        <v>0</v>
      </c>
      <c r="S49" s="20">
        <f>'伤害统计(理想)'!S49</f>
        <v>0</v>
      </c>
      <c r="T49" s="20">
        <f>'伤害统计(理想)'!T49</f>
        <v>0</v>
      </c>
      <c r="U49" s="20">
        <f>'伤害统计(理想)'!U49</f>
        <v>0</v>
      </c>
      <c r="V49" s="20">
        <f>'伤害统计(理想)'!V49</f>
        <v>0</v>
      </c>
      <c r="W49" s="20">
        <f>'伤害统计(理想)'!W49</f>
        <v>0</v>
      </c>
      <c r="X49" s="20">
        <f>'伤害统计(理想)'!X49</f>
        <v>0</v>
      </c>
      <c r="Y49" s="20">
        <f>'伤害统计(理想)'!Y49</f>
        <v>0</v>
      </c>
      <c r="Z49" s="20">
        <f>'伤害统计(理想)'!Z49</f>
        <v>0</v>
      </c>
      <c r="AA49" s="20">
        <f>'伤害统计(理想)'!AA49</f>
        <v>0</v>
      </c>
      <c r="AB49" s="20">
        <f>'伤害统计(理想)'!AB49</f>
        <v>0</v>
      </c>
      <c r="AC49" s="29"/>
      <c r="AE49" s="33"/>
      <c r="AF49" s="33"/>
      <c r="AG49" s="33"/>
      <c r="AH49" s="34"/>
      <c r="AI49" s="34"/>
      <c r="AJ49" s="34"/>
      <c r="AK49" s="34"/>
      <c r="AL49" s="34"/>
      <c r="AM49" s="34"/>
    </row>
    <row r="50" spans="1:29">
      <c r="A50" s="20" t="str">
        <f>'伤害统计(理想)'!A50</f>
        <v>六合1</v>
      </c>
      <c r="B50" s="20">
        <f>'伤害统计(理想)'!B50</f>
        <v>13</v>
      </c>
      <c r="C50" s="20">
        <f>'伤害统计(理想)'!C50</f>
        <v>0</v>
      </c>
      <c r="D50" s="20">
        <f>'伤害统计(理想)'!D50</f>
        <v>0</v>
      </c>
      <c r="E50" s="20">
        <f>'伤害统计(理想)'!E50</f>
        <v>0</v>
      </c>
      <c r="F50" s="20">
        <f>'伤害统计(理想)'!F50</f>
        <v>0</v>
      </c>
      <c r="G50" s="20">
        <f>'伤害统计(理想)'!G50</f>
        <v>0</v>
      </c>
      <c r="H50" s="20">
        <f>'伤害统计(理想)'!H50</f>
        <v>0</v>
      </c>
      <c r="I50" s="20">
        <f>'伤害统计(理想)'!I50</f>
        <v>0</v>
      </c>
      <c r="J50" s="20">
        <f>'伤害统计(理想)'!J50</f>
        <v>28</v>
      </c>
      <c r="K50" s="20">
        <f>'伤害统计(理想)'!K50</f>
        <v>41</v>
      </c>
      <c r="L50" s="20">
        <f>'伤害统计(理想)'!L50</f>
        <v>93</v>
      </c>
      <c r="M50" s="20">
        <f>'伤害统计(理想)'!M50</f>
        <v>65</v>
      </c>
      <c r="N50" s="20">
        <f>'伤害统计(理想)'!N50</f>
        <v>11</v>
      </c>
      <c r="O50" s="20" t="str">
        <f>'伤害统计(理想)'!O50</f>
        <v>昆吾·弦刃</v>
      </c>
      <c r="P50" s="20">
        <f>'伤害统计(理想)'!P50</f>
        <v>16</v>
      </c>
      <c r="Q50" s="20">
        <f>'伤害统计(理想)'!Q50</f>
        <v>810667</v>
      </c>
      <c r="R50" s="20">
        <f>'伤害统计(理想)'!R50</f>
        <v>0.00375348824815646</v>
      </c>
      <c r="S50" s="20">
        <f>'伤害统计(理想)'!S50</f>
        <v>0</v>
      </c>
      <c r="T50" s="20">
        <f>'伤害统计(理想)'!T50</f>
        <v>0</v>
      </c>
      <c r="U50" s="20">
        <f>'伤害统计(理想)'!U50</f>
        <v>0</v>
      </c>
      <c r="V50" s="20">
        <f>'伤害统计(理想)'!V50</f>
        <v>0</v>
      </c>
      <c r="W50" s="20">
        <f>'伤害统计(理想)'!W50</f>
        <v>0</v>
      </c>
      <c r="X50" s="20">
        <f>'伤害统计(理想)'!X50</f>
        <v>0</v>
      </c>
      <c r="Y50" s="20">
        <f>'伤害统计(理想)'!Y50</f>
        <v>0</v>
      </c>
      <c r="Z50" s="20">
        <f>'伤害统计(理想)'!Z50</f>
        <v>0</v>
      </c>
      <c r="AA50" s="20">
        <f>'伤害统计(理想)'!AA50</f>
        <v>0</v>
      </c>
      <c r="AB50" s="20">
        <f>'伤害统计(理想)'!AB50</f>
        <v>0</v>
      </c>
      <c r="AC50" s="29"/>
    </row>
    <row r="51" spans="1:31">
      <c r="A51" s="20" t="str">
        <f>'伤害统计(理想)'!A51</f>
        <v>六合2</v>
      </c>
      <c r="B51" s="20">
        <f>'伤害统计(理想)'!B51</f>
        <v>6</v>
      </c>
      <c r="C51" s="20">
        <f>'伤害统计(理想)'!C51</f>
        <v>0</v>
      </c>
      <c r="D51" s="20">
        <f>'伤害统计(理想)'!D51</f>
        <v>0</v>
      </c>
      <c r="E51" s="20">
        <f>'伤害统计(理想)'!E51</f>
        <v>5</v>
      </c>
      <c r="F51" s="20">
        <f>'伤害统计(理想)'!F51</f>
        <v>0</v>
      </c>
      <c r="G51" s="20">
        <f>'伤害统计(理想)'!G51</f>
        <v>0</v>
      </c>
      <c r="H51" s="20">
        <f>'伤害统计(理想)'!H51</f>
        <v>0</v>
      </c>
      <c r="I51" s="20">
        <f>'伤害统计(理想)'!I51</f>
        <v>2</v>
      </c>
      <c r="J51" s="20">
        <f>'伤害统计(理想)'!J51</f>
        <v>0</v>
      </c>
      <c r="K51" s="20">
        <f>'伤害统计(理想)'!K51</f>
        <v>13</v>
      </c>
      <c r="L51" s="20">
        <f>'伤害统计(理想)'!L51</f>
        <v>0</v>
      </c>
      <c r="M51" s="20">
        <f>'伤害统计(理想)'!M51</f>
        <v>0</v>
      </c>
      <c r="N51" s="20">
        <f>'伤害统计(理想)'!N51</f>
        <v>12</v>
      </c>
      <c r="O51" s="20" t="str">
        <f>'伤害统计(理想)'!O51</f>
        <v>空啸太玄剑·定</v>
      </c>
      <c r="P51" s="20">
        <f>'伤害统计(理想)'!P51</f>
        <v>0</v>
      </c>
      <c r="Q51" s="20">
        <f>'伤害统计(理想)'!Q51</f>
        <v>0</v>
      </c>
      <c r="R51" s="20">
        <f>'伤害统计(理想)'!R51</f>
        <v>0</v>
      </c>
      <c r="S51" s="20">
        <f>'伤害统计(理想)'!S51</f>
        <v>0</v>
      </c>
      <c r="T51" s="20">
        <f>'伤害统计(理想)'!T51</f>
        <v>0</v>
      </c>
      <c r="U51" s="20">
        <f>'伤害统计(理想)'!U51</f>
        <v>0</v>
      </c>
      <c r="V51" s="20">
        <f>'伤害统计(理想)'!V51</f>
        <v>0</v>
      </c>
      <c r="W51" s="20">
        <f>'伤害统计(理想)'!W51</f>
        <v>0</v>
      </c>
      <c r="X51" s="20">
        <f>'伤害统计(理想)'!X51</f>
        <v>0</v>
      </c>
      <c r="Y51" s="20">
        <f>'伤害统计(理想)'!Y51</f>
        <v>0</v>
      </c>
      <c r="Z51" s="20">
        <f>'伤害统计(理想)'!Z51</f>
        <v>0</v>
      </c>
      <c r="AA51" s="20">
        <f>'伤害统计(理想)'!AA51</f>
        <v>0</v>
      </c>
      <c r="AB51" s="20">
        <f>'伤害统计(理想)'!AB51</f>
        <v>0</v>
      </c>
      <c r="AC51" s="29"/>
      <c r="AE51" s="33"/>
    </row>
    <row r="52" spans="1:29">
      <c r="A52" s="20" t="str">
        <f>'伤害统计(理想)'!A52</f>
        <v>六合3</v>
      </c>
      <c r="B52" s="20">
        <f>'伤害统计(理想)'!B52</f>
        <v>6</v>
      </c>
      <c r="C52" s="20">
        <f>'伤害统计(理想)'!C52</f>
        <v>0</v>
      </c>
      <c r="D52" s="20">
        <f>'伤害统计(理想)'!D52</f>
        <v>0</v>
      </c>
      <c r="E52" s="20">
        <f>'伤害统计(理想)'!E52</f>
        <v>5</v>
      </c>
      <c r="F52" s="20">
        <f>'伤害统计(理想)'!F52</f>
        <v>0</v>
      </c>
      <c r="G52" s="20">
        <f>'伤害统计(理想)'!G52</f>
        <v>0</v>
      </c>
      <c r="H52" s="20">
        <f>'伤害统计(理想)'!H52</f>
        <v>0</v>
      </c>
      <c r="I52" s="20">
        <f>'伤害统计(理想)'!I52</f>
        <v>2</v>
      </c>
      <c r="J52" s="20">
        <f>'伤害统计(理想)'!J52</f>
        <v>0</v>
      </c>
      <c r="K52" s="20">
        <f>'伤害统计(理想)'!K52</f>
        <v>13</v>
      </c>
      <c r="L52" s="20">
        <f>'伤害统计(理想)'!L52</f>
        <v>0</v>
      </c>
      <c r="M52" s="20">
        <f>'伤害统计(理想)'!M52</f>
        <v>0</v>
      </c>
      <c r="N52" s="20">
        <f>'伤害统计(理想)'!N52</f>
        <v>13</v>
      </c>
      <c r="O52" s="20" t="str">
        <f>'伤害统计(理想)'!O52</f>
        <v>刃凌</v>
      </c>
      <c r="P52" s="20">
        <f>'伤害统计(理想)'!P52</f>
        <v>23</v>
      </c>
      <c r="Q52" s="20">
        <f>'伤害统计(理想)'!Q52</f>
        <v>732384</v>
      </c>
      <c r="R52" s="20">
        <f>'伤害统计(理想)'!R52</f>
        <v>0.00339102829785575</v>
      </c>
      <c r="S52" s="20">
        <f>'伤害统计(理想)'!S52</f>
        <v>0</v>
      </c>
      <c r="T52" s="20">
        <f>'伤害统计(理想)'!T52</f>
        <v>0</v>
      </c>
      <c r="U52" s="20">
        <f>'伤害统计(理想)'!U52</f>
        <v>0</v>
      </c>
      <c r="V52" s="20">
        <f>'伤害统计(理想)'!V52</f>
        <v>0</v>
      </c>
      <c r="W52" s="20">
        <f>'伤害统计(理想)'!W52</f>
        <v>0</v>
      </c>
      <c r="X52" s="20">
        <f>'伤害统计(理想)'!X52</f>
        <v>0</v>
      </c>
      <c r="Y52" s="20">
        <f>'伤害统计(理想)'!Y52</f>
        <v>0</v>
      </c>
      <c r="Z52" s="20">
        <f>'伤害统计(理想)'!Z52</f>
        <v>0</v>
      </c>
      <c r="AA52" s="20">
        <f>'伤害统计(理想)'!AA52</f>
        <v>0</v>
      </c>
      <c r="AB52" s="20">
        <f>'伤害统计(理想)'!AB52</f>
        <v>0</v>
      </c>
      <c r="AC52" s="29"/>
    </row>
    <row r="53" spans="1:31">
      <c r="A53" s="20" t="str">
        <f>'伤害统计(理想)'!A53</f>
        <v>六合4</v>
      </c>
      <c r="B53" s="20">
        <f>'伤害统计(理想)'!B53</f>
        <v>6</v>
      </c>
      <c r="C53" s="20">
        <f>'伤害统计(理想)'!C53</f>
        <v>0</v>
      </c>
      <c r="D53" s="20">
        <f>'伤害统计(理想)'!D53</f>
        <v>0</v>
      </c>
      <c r="E53" s="20">
        <f>'伤害统计(理想)'!E53</f>
        <v>5</v>
      </c>
      <c r="F53" s="20">
        <f>'伤害统计(理想)'!F53</f>
        <v>0</v>
      </c>
      <c r="G53" s="20">
        <f>'伤害统计(理想)'!G53</f>
        <v>0</v>
      </c>
      <c r="H53" s="20">
        <f>'伤害统计(理想)'!H53</f>
        <v>0</v>
      </c>
      <c r="I53" s="20">
        <f>'伤害统计(理想)'!I53</f>
        <v>2</v>
      </c>
      <c r="J53" s="20">
        <f>'伤害统计(理想)'!J53</f>
        <v>0</v>
      </c>
      <c r="K53" s="20">
        <f>'伤害统计(理想)'!K53</f>
        <v>13</v>
      </c>
      <c r="L53" s="20">
        <f>'伤害统计(理想)'!L53</f>
        <v>0</v>
      </c>
      <c r="M53" s="20">
        <f>'伤害统计(理想)'!M53</f>
        <v>0</v>
      </c>
      <c r="N53" s="20">
        <f>'伤害统计(理想)'!N53</f>
        <v>14</v>
      </c>
      <c r="O53" s="20" t="str">
        <f>'伤害统计(理想)'!O53</f>
        <v>五方行尽</v>
      </c>
      <c r="P53" s="20">
        <f>'伤害统计(理想)'!P53</f>
        <v>7</v>
      </c>
      <c r="Q53" s="20">
        <f>'伤害统计(理想)'!Q53</f>
        <v>370682</v>
      </c>
      <c r="R53" s="20">
        <f>'伤害统计(理想)'!R53</f>
        <v>0.00171630340300411</v>
      </c>
      <c r="S53" s="20">
        <f>'伤害统计(理想)'!S53</f>
        <v>0</v>
      </c>
      <c r="T53" s="20">
        <f>'伤害统计(理想)'!T53</f>
        <v>0</v>
      </c>
      <c r="U53" s="20">
        <f>'伤害统计(理想)'!U53</f>
        <v>0</v>
      </c>
      <c r="V53" s="20">
        <f>'伤害统计(理想)'!V53</f>
        <v>0</v>
      </c>
      <c r="W53" s="20">
        <f>'伤害统计(理想)'!W53</f>
        <v>0</v>
      </c>
      <c r="X53" s="20">
        <f>'伤害统计(理想)'!X53</f>
        <v>0</v>
      </c>
      <c r="Y53" s="20">
        <f>'伤害统计(理想)'!Y53</f>
        <v>0</v>
      </c>
      <c r="Z53" s="20">
        <f>'伤害统计(理想)'!Z53</f>
        <v>0</v>
      </c>
      <c r="AA53" s="20">
        <f>'伤害统计(理想)'!AA53</f>
        <v>0</v>
      </c>
      <c r="AB53" s="20">
        <f>'伤害统计(理想)'!AB53</f>
        <v>0</v>
      </c>
      <c r="AC53" s="29"/>
      <c r="AE53" s="33"/>
    </row>
    <row r="54" spans="1:29">
      <c r="A54" s="20" t="str">
        <f>'伤害统计(理想)'!A54</f>
        <v>六合5</v>
      </c>
      <c r="B54" s="20">
        <f>'伤害统计(理想)'!B54</f>
        <v>6</v>
      </c>
      <c r="C54" s="20">
        <f>'伤害统计(理想)'!C54</f>
        <v>0</v>
      </c>
      <c r="D54" s="20">
        <f>'伤害统计(理想)'!D54</f>
        <v>0</v>
      </c>
      <c r="E54" s="20">
        <f>'伤害统计(理想)'!E54</f>
        <v>5</v>
      </c>
      <c r="F54" s="20">
        <f>'伤害统计(理想)'!F54</f>
        <v>0</v>
      </c>
      <c r="G54" s="20">
        <f>'伤害统计(理想)'!G54</f>
        <v>0</v>
      </c>
      <c r="H54" s="20">
        <f>'伤害统计(理想)'!H54</f>
        <v>0</v>
      </c>
      <c r="I54" s="20">
        <f>'伤害统计(理想)'!I54</f>
        <v>2</v>
      </c>
      <c r="J54" s="20">
        <f>'伤害统计(理想)'!J54</f>
        <v>0</v>
      </c>
      <c r="K54" s="20">
        <f>'伤害统计(理想)'!K54</f>
        <v>13</v>
      </c>
      <c r="L54" s="20">
        <f>'伤害统计(理想)'!L54</f>
        <v>0</v>
      </c>
      <c r="M54" s="20">
        <f>'伤害统计(理想)'!M54</f>
        <v>0</v>
      </c>
      <c r="N54" s="20">
        <f>'伤害统计(理想)'!N54</f>
        <v>15</v>
      </c>
      <c r="O54" s="20" t="str">
        <f>'伤害统计(理想)'!O54</f>
        <v>三才化生</v>
      </c>
      <c r="P54" s="20">
        <f>'伤害统计(理想)'!P54</f>
        <v>14</v>
      </c>
      <c r="Q54" s="20">
        <f>'伤害统计(理想)'!Q54</f>
        <v>110917</v>
      </c>
      <c r="R54" s="20">
        <f>'伤害统计(理想)'!R54</f>
        <v>0.000513559397410738</v>
      </c>
      <c r="S54" s="20">
        <f>'伤害统计(理想)'!S54</f>
        <v>0</v>
      </c>
      <c r="T54" s="20">
        <f>'伤害统计(理想)'!T54</f>
        <v>0</v>
      </c>
      <c r="U54" s="20">
        <f>'伤害统计(理想)'!U54</f>
        <v>0</v>
      </c>
      <c r="V54" s="20">
        <f>'伤害统计(理想)'!V54</f>
        <v>0</v>
      </c>
      <c r="W54" s="20">
        <f>'伤害统计(理想)'!W54</f>
        <v>0</v>
      </c>
      <c r="X54" s="20">
        <f>'伤害统计(理想)'!X54</f>
        <v>0</v>
      </c>
      <c r="Y54" s="20">
        <f>'伤害统计(理想)'!Y54</f>
        <v>0</v>
      </c>
      <c r="Z54" s="20">
        <f>'伤害统计(理想)'!Z54</f>
        <v>0</v>
      </c>
      <c r="AA54" s="20">
        <f>'伤害统计(理想)'!AA54</f>
        <v>0</v>
      </c>
      <c r="AB54" s="20">
        <f>'伤害统计(理想)'!AB54</f>
        <v>0</v>
      </c>
      <c r="AC54" s="29"/>
    </row>
    <row r="55" spans="1:31">
      <c r="A55" s="20" t="str">
        <f>'伤害统计(理想)'!A55</f>
        <v>破</v>
      </c>
      <c r="B55" s="20">
        <f>'伤害统计(理想)'!B55</f>
        <v>54</v>
      </c>
      <c r="C55" s="20">
        <f>'伤害统计(理想)'!C55</f>
        <v>0</v>
      </c>
      <c r="D55" s="20">
        <f>'伤害统计(理想)'!D55</f>
        <v>5</v>
      </c>
      <c r="E55" s="20">
        <f>'伤害统计(理想)'!E55</f>
        <v>15</v>
      </c>
      <c r="F55" s="20">
        <f>'伤害统计(理想)'!F55</f>
        <v>2</v>
      </c>
      <c r="G55" s="20">
        <f>'伤害统计(理想)'!G55</f>
        <v>0</v>
      </c>
      <c r="H55" s="20">
        <f>'伤害统计(理想)'!H55</f>
        <v>2</v>
      </c>
      <c r="I55" s="20">
        <f>'伤害统计(理想)'!I55</f>
        <v>6</v>
      </c>
      <c r="J55" s="20">
        <f>'伤害统计(理想)'!J55</f>
        <v>0</v>
      </c>
      <c r="K55" s="20">
        <f>'伤害统计(理想)'!K55</f>
        <v>84</v>
      </c>
      <c r="L55" s="20">
        <f>'伤害统计(理想)'!L55</f>
        <v>91</v>
      </c>
      <c r="M55" s="20">
        <f>'伤害统计(理想)'!M55</f>
        <v>0</v>
      </c>
      <c r="N55" s="20">
        <f>'伤害统计(理想)'!N55</f>
        <v>16</v>
      </c>
      <c r="O55" s="20" t="str">
        <f>'伤害统计(理想)'!O55</f>
        <v>气竭(DOT)</v>
      </c>
      <c r="P55" s="20">
        <f>'伤害统计(理想)'!P55</f>
        <v>0</v>
      </c>
      <c r="Q55" s="20">
        <f>'伤害统计(理想)'!Q55</f>
        <v>0</v>
      </c>
      <c r="R55" s="20">
        <f>'伤害统计(理想)'!R55</f>
        <v>0</v>
      </c>
      <c r="S55" s="20">
        <f>'伤害统计(理想)'!S55</f>
        <v>0</v>
      </c>
      <c r="T55" s="20">
        <f>'伤害统计(理想)'!T55</f>
        <v>0</v>
      </c>
      <c r="U55" s="20">
        <f>'伤害统计(理想)'!U55</f>
        <v>0</v>
      </c>
      <c r="V55" s="20">
        <f>'伤害统计(理想)'!V55</f>
        <v>0</v>
      </c>
      <c r="W55" s="20">
        <f>'伤害统计(理想)'!W55</f>
        <v>0</v>
      </c>
      <c r="X55" s="20">
        <f>'伤害统计(理想)'!X55</f>
        <v>0</v>
      </c>
      <c r="Y55" s="20">
        <f>'伤害统计(理想)'!Y55</f>
        <v>0</v>
      </c>
      <c r="Z55" s="20">
        <f>'伤害统计(理想)'!Z55</f>
        <v>0</v>
      </c>
      <c r="AA55" s="20">
        <f>'伤害统计(理想)'!AA55</f>
        <v>0</v>
      </c>
      <c r="AB55" s="20">
        <f>'伤害统计(理想)'!AB55</f>
        <v>0</v>
      </c>
      <c r="AC55" s="29"/>
      <c r="AE55" s="33"/>
    </row>
    <row r="56" spans="1:29">
      <c r="A56" s="20" t="str">
        <f>'伤害统计(理想)'!A56</f>
        <v>破(4</v>
      </c>
      <c r="B56" s="20">
        <f>'伤害统计(理想)'!B56</f>
        <v>0</v>
      </c>
      <c r="C56" s="20">
        <f>'伤害统计(理想)'!C56</f>
        <v>0</v>
      </c>
      <c r="D56" s="20">
        <f>'伤害统计(理想)'!D56</f>
        <v>0</v>
      </c>
      <c r="E56" s="20">
        <f>'伤害统计(理想)'!E56</f>
        <v>0</v>
      </c>
      <c r="F56" s="20">
        <f>'伤害统计(理想)'!F56</f>
        <v>0</v>
      </c>
      <c r="G56" s="20">
        <f>'伤害统计(理想)'!G56</f>
        <v>0</v>
      </c>
      <c r="H56" s="20">
        <f>'伤害统计(理想)'!H56</f>
        <v>0</v>
      </c>
      <c r="I56" s="20">
        <f>'伤害统计(理想)'!I56</f>
        <v>0</v>
      </c>
      <c r="J56" s="20">
        <f>'伤害统计(理想)'!J56</f>
        <v>0</v>
      </c>
      <c r="K56" s="20">
        <f>'伤害统计(理想)'!K56</f>
        <v>0</v>
      </c>
      <c r="L56" s="20">
        <f>'伤害统计(理想)'!L56</f>
        <v>0</v>
      </c>
      <c r="M56" s="20">
        <f>'伤害统计(理想)'!M56</f>
        <v>0</v>
      </c>
      <c r="N56" s="20">
        <f>'伤害统计(理想)'!N56</f>
        <v>17</v>
      </c>
      <c r="O56" s="20" t="str">
        <f>'伤害统计(理想)'!O56</f>
        <v>星辰</v>
      </c>
      <c r="P56" s="20">
        <f>'伤害统计(理想)'!P56</f>
        <v>0</v>
      </c>
      <c r="Q56" s="20">
        <f>'伤害统计(理想)'!Q56</f>
        <v>0</v>
      </c>
      <c r="R56" s="20">
        <f>'伤害统计(理想)'!R56</f>
        <v>0</v>
      </c>
      <c r="S56" s="20">
        <f>'伤害统计(理想)'!S56</f>
        <v>0</v>
      </c>
      <c r="T56" s="20">
        <f>'伤害统计(理想)'!T56</f>
        <v>0</v>
      </c>
      <c r="U56" s="20">
        <f>'伤害统计(理想)'!U56</f>
        <v>0</v>
      </c>
      <c r="V56" s="20">
        <f>'伤害统计(理想)'!V56</f>
        <v>0</v>
      </c>
      <c r="W56" s="20">
        <f>'伤害统计(理想)'!W56</f>
        <v>0</v>
      </c>
      <c r="X56" s="20">
        <f>'伤害统计(理想)'!X56</f>
        <v>0</v>
      </c>
      <c r="Y56" s="20">
        <f>'伤害统计(理想)'!Y56</f>
        <v>0</v>
      </c>
      <c r="Z56" s="20">
        <f>'伤害统计(理想)'!Z56</f>
        <v>0</v>
      </c>
      <c r="AA56" s="20">
        <f>'伤害统计(理想)'!AA56</f>
        <v>0</v>
      </c>
      <c r="AB56" s="20">
        <f>'伤害统计(理想)'!AB56</f>
        <v>0</v>
      </c>
      <c r="AC56" s="29"/>
    </row>
    <row r="57" spans="1:29">
      <c r="A57" s="20" t="str">
        <f>'伤害统计(理想)'!A57</f>
        <v>破(万世二段</v>
      </c>
      <c r="B57" s="20">
        <f>'伤害统计(理想)'!B57</f>
        <v>7</v>
      </c>
      <c r="C57" s="20">
        <f>'伤害统计(理想)'!C57</f>
        <v>0</v>
      </c>
      <c r="D57" s="20">
        <f>'伤害统计(理想)'!D57</f>
        <v>0</v>
      </c>
      <c r="E57" s="20">
        <f>'伤害统计(理想)'!E57</f>
        <v>0</v>
      </c>
      <c r="F57" s="20">
        <f>'伤害统计(理想)'!F57</f>
        <v>0</v>
      </c>
      <c r="G57" s="20">
        <f>'伤害统计(理想)'!G57</f>
        <v>0</v>
      </c>
      <c r="H57" s="20">
        <f>'伤害统计(理想)'!H57</f>
        <v>0</v>
      </c>
      <c r="I57" s="20">
        <f>'伤害统计(理想)'!I57</f>
        <v>0</v>
      </c>
      <c r="J57" s="20">
        <f>'伤害统计(理想)'!J57</f>
        <v>0</v>
      </c>
      <c r="K57" s="20">
        <f>'伤害统计(理想)'!K57</f>
        <v>7</v>
      </c>
      <c r="L57" s="20">
        <f>'伤害统计(理想)'!L57</f>
        <v>0</v>
      </c>
      <c r="M57" s="20">
        <f>'伤害统计(理想)'!M57</f>
        <v>0</v>
      </c>
      <c r="N57" s="20">
        <f>'伤害统计(理想)'!N57</f>
        <v>18</v>
      </c>
      <c r="O57" s="20" t="str">
        <f>'伤害统计(理想)'!O57</f>
        <v>四象轮回·神兵</v>
      </c>
      <c r="P57" s="20">
        <f>'伤害统计(理想)'!P57</f>
        <v>0</v>
      </c>
      <c r="Q57" s="20">
        <f>'伤害统计(理想)'!Q57</f>
        <v>0</v>
      </c>
      <c r="R57" s="20">
        <f>'伤害统计(理想)'!R57</f>
        <v>0</v>
      </c>
      <c r="S57" s="20">
        <f>'伤害统计(理想)'!S57</f>
        <v>0</v>
      </c>
      <c r="T57" s="20">
        <f>'伤害统计(理想)'!T57</f>
        <v>0</v>
      </c>
      <c r="U57" s="20">
        <f>'伤害统计(理想)'!U57</f>
        <v>0</v>
      </c>
      <c r="V57" s="20">
        <f>'伤害统计(理想)'!V57</f>
        <v>0</v>
      </c>
      <c r="W57" s="20">
        <f>'伤害统计(理想)'!W57</f>
        <v>0</v>
      </c>
      <c r="X57" s="20">
        <f>'伤害统计(理想)'!X57</f>
        <v>0</v>
      </c>
      <c r="Y57" s="20">
        <f>'伤害统计(理想)'!Y57</f>
        <v>0</v>
      </c>
      <c r="Z57" s="20">
        <f>'伤害统计(理想)'!Z57</f>
        <v>0</v>
      </c>
      <c r="AA57" s="20">
        <f>'伤害统计(理想)'!AA57</f>
        <v>0</v>
      </c>
      <c r="AB57" s="20">
        <f>'伤害统计(理想)'!AB57</f>
        <v>0</v>
      </c>
      <c r="AC57" s="29"/>
    </row>
    <row r="58" spans="1:29">
      <c r="A58" s="20" t="str">
        <f>'伤害统计(理想)'!A58</f>
        <v>三才化生</v>
      </c>
      <c r="B58" s="20">
        <f>'伤害统计(理想)'!B58</f>
        <v>14</v>
      </c>
      <c r="C58" s="20">
        <f>'伤害统计(理想)'!C58</f>
        <v>0</v>
      </c>
      <c r="D58" s="20">
        <f>'伤害统计(理想)'!D58</f>
        <v>0</v>
      </c>
      <c r="E58" s="20">
        <f>'伤害统计(理想)'!E58</f>
        <v>0</v>
      </c>
      <c r="F58" s="20">
        <f>'伤害统计(理想)'!F58</f>
        <v>0</v>
      </c>
      <c r="G58" s="20">
        <f>'伤害统计(理想)'!G58</f>
        <v>0</v>
      </c>
      <c r="H58" s="20">
        <f>'伤害统计(理想)'!H58</f>
        <v>0</v>
      </c>
      <c r="I58" s="20">
        <f>'伤害统计(理想)'!I58</f>
        <v>0</v>
      </c>
      <c r="J58" s="20">
        <f>'伤害统计(理想)'!J58</f>
        <v>0</v>
      </c>
      <c r="K58" s="20">
        <f>'伤害统计(理想)'!K58</f>
        <v>14</v>
      </c>
      <c r="L58" s="20">
        <f>'伤害统计(理想)'!L58</f>
        <v>14</v>
      </c>
      <c r="M58" s="20">
        <f>'伤害统计(理想)'!M58</f>
        <v>0</v>
      </c>
      <c r="N58" s="20">
        <f>'伤害统计(理想)'!N58</f>
        <v>0</v>
      </c>
      <c r="O58" s="20">
        <f>'伤害统计(理想)'!O58</f>
        <v>0</v>
      </c>
      <c r="P58" s="20">
        <f>'伤害统计(理想)'!P58</f>
        <v>0</v>
      </c>
      <c r="Q58" s="20">
        <f>'伤害统计(理想)'!Q58</f>
        <v>0</v>
      </c>
      <c r="R58" s="20">
        <f>'伤害统计(理想)'!R58</f>
        <v>0</v>
      </c>
      <c r="S58" s="20">
        <f>'伤害统计(理想)'!S58</f>
        <v>0</v>
      </c>
      <c r="T58" s="20">
        <f>'伤害统计(理想)'!T58</f>
        <v>0</v>
      </c>
      <c r="U58" s="20">
        <f>'伤害统计(理想)'!U58</f>
        <v>0</v>
      </c>
      <c r="V58" s="20">
        <f>'伤害统计(理想)'!V58</f>
        <v>0</v>
      </c>
      <c r="W58" s="20">
        <f>'伤害统计(理想)'!W58</f>
        <v>0</v>
      </c>
      <c r="X58" s="20">
        <f>'伤害统计(理想)'!X58</f>
        <v>0</v>
      </c>
      <c r="Y58" s="20">
        <f>'伤害统计(理想)'!Y58</f>
        <v>0</v>
      </c>
      <c r="Z58" s="20">
        <f>'伤害统计(理想)'!Z58</f>
        <v>0</v>
      </c>
      <c r="AA58" s="20">
        <f>'伤害统计(理想)'!AA58</f>
        <v>0</v>
      </c>
      <c r="AB58" s="20">
        <f>'伤害统计(理想)'!AB58</f>
        <v>0</v>
      </c>
      <c r="AC58" s="29"/>
    </row>
    <row r="59" spans="1:28">
      <c r="A59" s="20" t="str">
        <f>'伤害统计(理想)'!A59</f>
        <v>厚亡</v>
      </c>
      <c r="B59" s="20">
        <f>'伤害统计(理想)'!B59</f>
        <v>0</v>
      </c>
      <c r="C59" s="20">
        <f>'伤害统计(理想)'!C59</f>
        <v>0</v>
      </c>
      <c r="D59" s="20">
        <f>'伤害统计(理想)'!D59</f>
        <v>0</v>
      </c>
      <c r="E59" s="20">
        <f>'伤害统计(理想)'!E59</f>
        <v>0</v>
      </c>
      <c r="F59" s="20">
        <f>'伤害统计(理想)'!F59</f>
        <v>0</v>
      </c>
      <c r="G59" s="20">
        <f>'伤害统计(理想)'!G59</f>
        <v>0</v>
      </c>
      <c r="H59" s="20">
        <f>'伤害统计(理想)'!H59</f>
        <v>0</v>
      </c>
      <c r="I59" s="20">
        <f>'伤害统计(理想)'!I59</f>
        <v>0</v>
      </c>
      <c r="J59" s="20">
        <f>'伤害统计(理想)'!J59</f>
        <v>0</v>
      </c>
      <c r="K59" s="20">
        <f>'伤害统计(理想)'!K59</f>
        <v>0</v>
      </c>
      <c r="L59" s="20">
        <f>'伤害统计(理想)'!L59</f>
        <v>0</v>
      </c>
      <c r="M59" s="20">
        <f>'伤害统计(理想)'!M59</f>
        <v>0</v>
      </c>
      <c r="N59" s="20">
        <f>'伤害统计(理想)'!N59</f>
        <v>0</v>
      </c>
      <c r="O59" s="20">
        <f>'伤害统计(理想)'!O59</f>
        <v>0</v>
      </c>
      <c r="P59" s="20">
        <f>'伤害统计(理想)'!P59</f>
        <v>0</v>
      </c>
      <c r="Q59" s="20">
        <f>'伤害统计(理想)'!Q59</f>
        <v>0</v>
      </c>
      <c r="R59" s="20">
        <f>'伤害统计(理想)'!R59</f>
        <v>0</v>
      </c>
      <c r="S59" s="20">
        <f>'伤害统计(理想)'!S59</f>
        <v>0</v>
      </c>
      <c r="T59" s="20">
        <f>'伤害统计(理想)'!T59</f>
        <v>0</v>
      </c>
      <c r="U59" s="20">
        <f>'伤害统计(理想)'!U59</f>
        <v>0</v>
      </c>
      <c r="V59" s="20">
        <f>'伤害统计(理想)'!V59</f>
        <v>0</v>
      </c>
      <c r="W59" s="20">
        <f>'伤害统计(理想)'!W59</f>
        <v>0</v>
      </c>
      <c r="X59" s="20">
        <f>'伤害统计(理想)'!X59</f>
        <v>0</v>
      </c>
      <c r="Y59" s="20">
        <f>'伤害统计(理想)'!Y59</f>
        <v>0</v>
      </c>
      <c r="Z59" s="20">
        <f>'伤害统计(理想)'!Z59</f>
        <v>0</v>
      </c>
      <c r="AA59" s="20">
        <f>'伤害统计(理想)'!AA59</f>
        <v>0</v>
      </c>
      <c r="AB59" s="20">
        <f>'伤害统计(理想)'!AB59</f>
        <v>0</v>
      </c>
    </row>
    <row r="60" spans="1:28">
      <c r="A60" s="20" t="str">
        <f>'伤害统计(理想)'!A60</f>
        <v>刃凌</v>
      </c>
      <c r="B60" s="20">
        <f>'伤害统计(理想)'!B60</f>
        <v>16</v>
      </c>
      <c r="C60" s="20">
        <f>'伤害统计(理想)'!C60</f>
        <v>0</v>
      </c>
      <c r="D60" s="20">
        <f>'伤害统计(理想)'!D60</f>
        <v>0</v>
      </c>
      <c r="E60" s="20">
        <f>'伤害统计(理想)'!E60</f>
        <v>5</v>
      </c>
      <c r="F60" s="20">
        <f>'伤害统计(理想)'!F60</f>
        <v>2</v>
      </c>
      <c r="G60" s="20">
        <f>'伤害统计(理想)'!G60</f>
        <v>0</v>
      </c>
      <c r="H60" s="20">
        <f>'伤害统计(理想)'!H60</f>
        <v>0</v>
      </c>
      <c r="I60" s="20">
        <f>'伤害统计(理想)'!I60</f>
        <v>0</v>
      </c>
      <c r="J60" s="20">
        <f>'伤害统计(理想)'!J60</f>
        <v>0</v>
      </c>
      <c r="K60" s="20">
        <f>'伤害统计(理想)'!K60</f>
        <v>23</v>
      </c>
      <c r="L60" s="20">
        <f>'伤害统计(理想)'!L60</f>
        <v>23</v>
      </c>
      <c r="M60" s="20">
        <f>'伤害统计(理想)'!M60</f>
        <v>0</v>
      </c>
      <c r="N60" s="20">
        <f>'伤害统计(理想)'!N60</f>
        <v>0</v>
      </c>
      <c r="O60" s="20">
        <f>'伤害统计(理想)'!O60</f>
        <v>0</v>
      </c>
      <c r="P60" s="20">
        <f>'伤害统计(理想)'!P60</f>
        <v>0</v>
      </c>
      <c r="Q60" s="20">
        <f>'伤害统计(理想)'!Q60</f>
        <v>0</v>
      </c>
      <c r="R60" s="20">
        <f>'伤害统计(理想)'!R60</f>
        <v>0</v>
      </c>
      <c r="S60" s="20">
        <f>'伤害统计(理想)'!S60</f>
        <v>0</v>
      </c>
      <c r="T60" s="20">
        <f>'伤害统计(理想)'!T60</f>
        <v>0</v>
      </c>
      <c r="U60" s="20">
        <f>'伤害统计(理想)'!U60</f>
        <v>0</v>
      </c>
      <c r="V60" s="20">
        <f>'伤害统计(理想)'!V60</f>
        <v>0</v>
      </c>
      <c r="W60" s="20">
        <f>'伤害统计(理想)'!W60</f>
        <v>0</v>
      </c>
      <c r="X60" s="20">
        <f>'伤害统计(理想)'!X60</f>
        <v>0</v>
      </c>
      <c r="Y60" s="20">
        <f>'伤害统计(理想)'!Y60</f>
        <v>0</v>
      </c>
      <c r="Z60" s="20">
        <f>'伤害统计(理想)'!Z60</f>
        <v>0</v>
      </c>
      <c r="AA60" s="20">
        <f>'伤害统计(理想)'!AA60</f>
        <v>0</v>
      </c>
      <c r="AB60" s="20">
        <f>'伤害统计(理想)'!AB60</f>
        <v>0</v>
      </c>
    </row>
    <row r="61" spans="1:28">
      <c r="A61" s="20" t="str">
        <f>'伤害统计(理想)'!A61</f>
        <v>昆吾·弦刃</v>
      </c>
      <c r="B61" s="20">
        <f>'伤害统计(理想)'!B61</f>
        <v>14</v>
      </c>
      <c r="C61" s="20">
        <f>'伤害统计(理想)'!C61</f>
        <v>0</v>
      </c>
      <c r="D61" s="20">
        <f>'伤害统计(理想)'!D61</f>
        <v>0</v>
      </c>
      <c r="E61" s="20">
        <f>'伤害统计(理想)'!E61</f>
        <v>2</v>
      </c>
      <c r="F61" s="20">
        <f>'伤害统计(理想)'!F61</f>
        <v>0</v>
      </c>
      <c r="G61" s="20">
        <f>'伤害统计(理想)'!G61</f>
        <v>0</v>
      </c>
      <c r="H61" s="20">
        <f>'伤害统计(理想)'!H61</f>
        <v>0</v>
      </c>
      <c r="I61" s="20">
        <f>'伤害统计(理想)'!I61</f>
        <v>0</v>
      </c>
      <c r="J61" s="20">
        <f>'伤害统计(理想)'!J61</f>
        <v>0</v>
      </c>
      <c r="K61" s="20">
        <f>'伤害统计(理想)'!K61</f>
        <v>16</v>
      </c>
      <c r="L61" s="20">
        <f>'伤害统计(理想)'!L61</f>
        <v>16</v>
      </c>
      <c r="M61" s="20">
        <f>'伤害统计(理想)'!M61</f>
        <v>0</v>
      </c>
      <c r="N61" s="20">
        <f>'伤害统计(理想)'!N61</f>
        <v>0</v>
      </c>
      <c r="O61" s="20">
        <f>'伤害统计(理想)'!O61</f>
        <v>0</v>
      </c>
      <c r="P61" s="20">
        <f>'伤害统计(理想)'!P61</f>
        <v>0</v>
      </c>
      <c r="Q61" s="20">
        <f>'伤害统计(理想)'!Q61</f>
        <v>0</v>
      </c>
      <c r="R61" s="20">
        <f>'伤害统计(理想)'!R61</f>
        <v>0</v>
      </c>
      <c r="S61" s="20">
        <f>'伤害统计(理想)'!S61</f>
        <v>0</v>
      </c>
      <c r="T61" s="20">
        <f>'伤害统计(理想)'!T61</f>
        <v>0</v>
      </c>
      <c r="U61" s="20">
        <f>'伤害统计(理想)'!U61</f>
        <v>0</v>
      </c>
      <c r="V61" s="20">
        <f>'伤害统计(理想)'!V61</f>
        <v>0</v>
      </c>
      <c r="W61" s="20">
        <f>'伤害统计(理想)'!W61</f>
        <v>0</v>
      </c>
      <c r="X61" s="20">
        <f>'伤害统计(理想)'!X61</f>
        <v>0</v>
      </c>
      <c r="Y61" s="20">
        <f>'伤害统计(理想)'!Y61</f>
        <v>0</v>
      </c>
      <c r="Z61" s="20">
        <f>'伤害统计(理想)'!Z61</f>
        <v>0</v>
      </c>
      <c r="AA61" s="20">
        <f>'伤害统计(理想)'!AA61</f>
        <v>0</v>
      </c>
      <c r="AB61" s="20">
        <f>'伤害统计(理想)'!AB61</f>
        <v>0</v>
      </c>
    </row>
    <row r="62" spans="1:35">
      <c r="A62" s="20" t="str">
        <f>'伤害统计(理想)'!A62</f>
        <v>腾空·三才</v>
      </c>
      <c r="B62" s="20">
        <f>'伤害统计(理想)'!B62</f>
        <v>0</v>
      </c>
      <c r="C62" s="20">
        <f>'伤害统计(理想)'!C62</f>
        <v>0</v>
      </c>
      <c r="D62" s="20">
        <f>'伤害统计(理想)'!D62</f>
        <v>0</v>
      </c>
      <c r="E62" s="20">
        <f>'伤害统计(理想)'!E62</f>
        <v>0</v>
      </c>
      <c r="F62" s="20">
        <f>'伤害统计(理想)'!F62</f>
        <v>0</v>
      </c>
      <c r="G62" s="20">
        <f>'伤害统计(理想)'!G62</f>
        <v>0</v>
      </c>
      <c r="H62" s="20">
        <f>'伤害统计(理想)'!H62</f>
        <v>0</v>
      </c>
      <c r="I62" s="20">
        <f>'伤害统计(理想)'!I62</f>
        <v>0</v>
      </c>
      <c r="J62" s="20">
        <f>'伤害统计(理想)'!J62</f>
        <v>0</v>
      </c>
      <c r="K62" s="20">
        <f>'伤害统计(理想)'!K62</f>
        <v>0</v>
      </c>
      <c r="L62" s="20">
        <f>'伤害统计(理想)'!L62</f>
        <v>0</v>
      </c>
      <c r="M62" s="20">
        <f>'伤害统计(理想)'!M62</f>
        <v>0</v>
      </c>
      <c r="N62" s="20">
        <f>'伤害统计(理想)'!N62</f>
        <v>0</v>
      </c>
      <c r="O62" s="20">
        <f>'伤害统计(理想)'!O62</f>
        <v>0</v>
      </c>
      <c r="P62" s="20">
        <f>'伤害统计(理想)'!P62</f>
        <v>0</v>
      </c>
      <c r="Q62" s="20">
        <f>'伤害统计(理想)'!Q62</f>
        <v>0</v>
      </c>
      <c r="R62" s="20">
        <f>'伤害统计(理想)'!R62</f>
        <v>0</v>
      </c>
      <c r="S62" s="20">
        <f>'伤害统计(理想)'!S62</f>
        <v>0</v>
      </c>
      <c r="T62" s="20">
        <f>'伤害统计(理想)'!T62</f>
        <v>0</v>
      </c>
      <c r="U62" s="20">
        <f>'伤害统计(理想)'!U62</f>
        <v>0</v>
      </c>
      <c r="V62" s="20">
        <f>'伤害统计(理想)'!V62</f>
        <v>0</v>
      </c>
      <c r="W62" s="20">
        <f>'伤害统计(理想)'!W62</f>
        <v>0</v>
      </c>
      <c r="X62" s="20">
        <f>'伤害统计(理想)'!X62</f>
        <v>0</v>
      </c>
      <c r="Y62" s="20">
        <f>'伤害统计(理想)'!Y62</f>
        <v>0</v>
      </c>
      <c r="Z62" s="20">
        <f>'伤害统计(理想)'!Z62</f>
        <v>0</v>
      </c>
      <c r="AA62" s="20">
        <f>'伤害统计(理想)'!AA62</f>
        <v>0</v>
      </c>
      <c r="AB62" s="20">
        <f>'伤害统计(理想)'!AB62</f>
        <v>0</v>
      </c>
      <c r="AH62" s="33"/>
      <c r="AI62" s="33"/>
    </row>
    <row r="63" spans="1:28">
      <c r="A63" s="20" t="str">
        <f>'伤害统计(理想)'!A63</f>
        <v>腾空·凭虚</v>
      </c>
      <c r="B63" s="20">
        <f>'伤害统计(理想)'!B63</f>
        <v>0</v>
      </c>
      <c r="C63" s="20">
        <f>'伤害统计(理想)'!C63</f>
        <v>0</v>
      </c>
      <c r="D63" s="20">
        <f>'伤害统计(理想)'!D63</f>
        <v>0</v>
      </c>
      <c r="E63" s="20">
        <f>'伤害统计(理想)'!E63</f>
        <v>0</v>
      </c>
      <c r="F63" s="20">
        <f>'伤害统计(理想)'!F63</f>
        <v>0</v>
      </c>
      <c r="G63" s="20">
        <f>'伤害统计(理想)'!G63</f>
        <v>0</v>
      </c>
      <c r="H63" s="20">
        <f>'伤害统计(理想)'!H63</f>
        <v>0</v>
      </c>
      <c r="I63" s="20">
        <f>'伤害统计(理想)'!I63</f>
        <v>0</v>
      </c>
      <c r="J63" s="20">
        <f>'伤害统计(理想)'!J63</f>
        <v>0</v>
      </c>
      <c r="K63" s="20">
        <f>'伤害统计(理想)'!K63</f>
        <v>0</v>
      </c>
      <c r="L63" s="20">
        <f>'伤害统计(理想)'!L63</f>
        <v>0</v>
      </c>
      <c r="M63" s="20">
        <f>'伤害统计(理想)'!M63</f>
        <v>0</v>
      </c>
      <c r="N63" s="20">
        <f>'伤害统计(理想)'!N63</f>
        <v>0</v>
      </c>
      <c r="O63" s="20">
        <f>'伤害统计(理想)'!O63</f>
        <v>0</v>
      </c>
      <c r="P63" s="20">
        <f>'伤害统计(理想)'!P63</f>
        <v>0</v>
      </c>
      <c r="Q63" s="20">
        <f>'伤害统计(理想)'!Q63</f>
        <v>0</v>
      </c>
      <c r="R63" s="20">
        <f>'伤害统计(理想)'!R63</f>
        <v>0</v>
      </c>
      <c r="S63" s="20">
        <f>'伤害统计(理想)'!S63</f>
        <v>0</v>
      </c>
      <c r="T63" s="20">
        <f>'伤害统计(理想)'!T63</f>
        <v>0</v>
      </c>
      <c r="U63" s="20">
        <f>'伤害统计(理想)'!U63</f>
        <v>0</v>
      </c>
      <c r="V63" s="20">
        <f>'伤害统计(理想)'!V63</f>
        <v>0</v>
      </c>
      <c r="W63" s="20">
        <f>'伤害统计(理想)'!W63</f>
        <v>0</v>
      </c>
      <c r="X63" s="20">
        <f>'伤害统计(理想)'!X63</f>
        <v>0</v>
      </c>
      <c r="Y63" s="20">
        <f>'伤害统计(理想)'!Y63</f>
        <v>0</v>
      </c>
      <c r="Z63" s="20">
        <f>'伤害统计(理想)'!Z63</f>
        <v>0</v>
      </c>
      <c r="AA63" s="20">
        <f>'伤害统计(理想)'!AA63</f>
        <v>0</v>
      </c>
      <c r="AB63" s="20">
        <f>'伤害统计(理想)'!AB63</f>
        <v>0</v>
      </c>
    </row>
    <row r="64" spans="1:33">
      <c r="A64" s="20" t="str">
        <f>'伤害统计(理想)'!A64</f>
        <v>腾空·凭虚·定</v>
      </c>
      <c r="B64" s="20">
        <f>'伤害统计(理想)'!B64</f>
        <v>0</v>
      </c>
      <c r="C64" s="20">
        <f>'伤害统计(理想)'!C64</f>
        <v>0</v>
      </c>
      <c r="D64" s="20">
        <f>'伤害统计(理想)'!D64</f>
        <v>0</v>
      </c>
      <c r="E64" s="20">
        <f>'伤害统计(理想)'!E64</f>
        <v>0</v>
      </c>
      <c r="F64" s="20">
        <f>'伤害统计(理想)'!F64</f>
        <v>0</v>
      </c>
      <c r="G64" s="20">
        <f>'伤害统计(理想)'!G64</f>
        <v>0</v>
      </c>
      <c r="H64" s="20">
        <f>'伤害统计(理想)'!H64</f>
        <v>0</v>
      </c>
      <c r="I64" s="20">
        <f>'伤害统计(理想)'!I64</f>
        <v>0</v>
      </c>
      <c r="J64" s="20">
        <f>'伤害统计(理想)'!J64</f>
        <v>0</v>
      </c>
      <c r="K64" s="20">
        <f>'伤害统计(理想)'!K64</f>
        <v>0</v>
      </c>
      <c r="L64" s="20">
        <f>'伤害统计(理想)'!L64</f>
        <v>0</v>
      </c>
      <c r="M64" s="20">
        <f>'伤害统计(理想)'!M64</f>
        <v>0</v>
      </c>
      <c r="N64" s="20">
        <f>'伤害统计(理想)'!N64</f>
        <v>0</v>
      </c>
      <c r="O64" s="20">
        <f>'伤害统计(理想)'!O64</f>
        <v>0</v>
      </c>
      <c r="P64" s="20">
        <f>'伤害统计(理想)'!P64</f>
        <v>0</v>
      </c>
      <c r="Q64" s="20">
        <f>'伤害统计(理想)'!Q64</f>
        <v>0</v>
      </c>
      <c r="R64" s="20">
        <f>'伤害统计(理想)'!R64</f>
        <v>0</v>
      </c>
      <c r="S64" s="20">
        <f>'伤害统计(理想)'!S64</f>
        <v>0</v>
      </c>
      <c r="T64" s="20">
        <f>'伤害统计(理想)'!T64</f>
        <v>0</v>
      </c>
      <c r="U64" s="20">
        <f>'伤害统计(理想)'!U64</f>
        <v>0</v>
      </c>
      <c r="V64" s="20">
        <f>'伤害统计(理想)'!V64</f>
        <v>0</v>
      </c>
      <c r="W64" s="20">
        <f>'伤害统计(理想)'!W64</f>
        <v>0</v>
      </c>
      <c r="X64" s="20">
        <f>'伤害统计(理想)'!X64</f>
        <v>0</v>
      </c>
      <c r="Y64" s="20">
        <f>'伤害统计(理想)'!Y64</f>
        <v>0</v>
      </c>
      <c r="Z64" s="20">
        <f>'伤害统计(理想)'!Z64</f>
        <v>0</v>
      </c>
      <c r="AA64" s="20">
        <f>'伤害统计(理想)'!AA64</f>
        <v>0</v>
      </c>
      <c r="AB64" s="20">
        <f>'伤害统计(理想)'!AB64</f>
        <v>0</v>
      </c>
      <c r="AG64" s="33"/>
    </row>
    <row r="65" spans="1:28">
      <c r="A65" s="20" t="str">
        <f>'伤害统计(理想)'!A65</f>
        <v>气竭(DOT)</v>
      </c>
      <c r="B65" s="20">
        <f>'伤害统计(理想)'!B65</f>
        <v>0</v>
      </c>
      <c r="C65" s="20">
        <f>'伤害统计(理想)'!C65</f>
        <v>0</v>
      </c>
      <c r="D65" s="20">
        <f>'伤害统计(理想)'!D65</f>
        <v>0</v>
      </c>
      <c r="E65" s="20">
        <f>'伤害统计(理想)'!E65</f>
        <v>0</v>
      </c>
      <c r="F65" s="20">
        <f>'伤害统计(理想)'!F65</f>
        <v>0</v>
      </c>
      <c r="G65" s="20">
        <f>'伤害统计(理想)'!G65</f>
        <v>0</v>
      </c>
      <c r="H65" s="20">
        <f>'伤害统计(理想)'!H65</f>
        <v>0</v>
      </c>
      <c r="I65" s="20">
        <f>'伤害统计(理想)'!I65</f>
        <v>0</v>
      </c>
      <c r="J65" s="20">
        <f>'伤害统计(理想)'!J65</f>
        <v>0</v>
      </c>
      <c r="K65" s="20">
        <f>'伤害统计(理想)'!K65</f>
        <v>0</v>
      </c>
      <c r="L65" s="20">
        <f>'伤害统计(理想)'!L65</f>
        <v>0</v>
      </c>
      <c r="M65" s="20">
        <f>'伤害统计(理想)'!M65</f>
        <v>0</v>
      </c>
      <c r="N65" s="20">
        <f>'伤害统计(理想)'!N65</f>
        <v>0</v>
      </c>
      <c r="O65" s="20">
        <f>'伤害统计(理想)'!O65</f>
        <v>0</v>
      </c>
      <c r="P65" s="20">
        <f>'伤害统计(理想)'!P65</f>
        <v>0</v>
      </c>
      <c r="Q65" s="20">
        <f>'伤害统计(理想)'!Q65</f>
        <v>0</v>
      </c>
      <c r="R65" s="20">
        <f>'伤害统计(理想)'!R65</f>
        <v>0</v>
      </c>
      <c r="S65" s="20">
        <f>'伤害统计(理想)'!S65</f>
        <v>0</v>
      </c>
      <c r="T65" s="20">
        <f>'伤害统计(理想)'!T65</f>
        <v>0</v>
      </c>
      <c r="U65" s="20">
        <f>'伤害统计(理想)'!U65</f>
        <v>0</v>
      </c>
      <c r="V65" s="20">
        <f>'伤害统计(理想)'!V65</f>
        <v>0</v>
      </c>
      <c r="W65" s="20">
        <f>'伤害统计(理想)'!W65</f>
        <v>0</v>
      </c>
      <c r="X65" s="20">
        <f>'伤害统计(理想)'!X65</f>
        <v>0</v>
      </c>
      <c r="Y65" s="20">
        <f>'伤害统计(理想)'!Y65</f>
        <v>0</v>
      </c>
      <c r="Z65" s="20">
        <f>'伤害统计(理想)'!Z65</f>
        <v>0</v>
      </c>
      <c r="AA65" s="20">
        <f>'伤害统计(理想)'!AA65</f>
        <v>0</v>
      </c>
      <c r="AB65" s="20">
        <f>'伤害统计(理想)'!AB65</f>
        <v>0</v>
      </c>
    </row>
    <row r="66" spans="1:28">
      <c r="A66" s="20" t="str">
        <f>'伤害统计(理想)'!A66</f>
        <v>星辰</v>
      </c>
      <c r="B66" s="20">
        <f>'伤害统计(理想)'!B66</f>
        <v>0</v>
      </c>
      <c r="C66" s="20">
        <f>'伤害统计(理想)'!C66</f>
        <v>0</v>
      </c>
      <c r="D66" s="20">
        <f>'伤害统计(理想)'!D66</f>
        <v>0</v>
      </c>
      <c r="E66" s="20">
        <f>'伤害统计(理想)'!E66</f>
        <v>0</v>
      </c>
      <c r="F66" s="20">
        <f>'伤害统计(理想)'!F66</f>
        <v>0</v>
      </c>
      <c r="G66" s="20">
        <f>'伤害统计(理想)'!G66</f>
        <v>0</v>
      </c>
      <c r="H66" s="20">
        <f>'伤害统计(理想)'!H66</f>
        <v>0</v>
      </c>
      <c r="I66" s="20">
        <f>'伤害统计(理想)'!I66</f>
        <v>0</v>
      </c>
      <c r="J66" s="20">
        <f>'伤害统计(理想)'!J66</f>
        <v>0</v>
      </c>
      <c r="K66" s="20">
        <f>'伤害统计(理想)'!K66</f>
        <v>0</v>
      </c>
      <c r="L66" s="20">
        <f>'伤害统计(理想)'!L66</f>
        <v>0</v>
      </c>
      <c r="M66" s="20">
        <f>'伤害统计(理想)'!M66</f>
        <v>0</v>
      </c>
      <c r="N66" s="20">
        <f>'伤害统计(理想)'!N66</f>
        <v>0</v>
      </c>
      <c r="O66" s="20">
        <f>'伤害统计(理想)'!O66</f>
        <v>0</v>
      </c>
      <c r="P66" s="20">
        <f>'伤害统计(理想)'!P66</f>
        <v>0</v>
      </c>
      <c r="Q66" s="20">
        <f>'伤害统计(理想)'!Q66</f>
        <v>0</v>
      </c>
      <c r="R66" s="20">
        <f>'伤害统计(理想)'!R66</f>
        <v>0</v>
      </c>
      <c r="S66" s="20">
        <f>'伤害统计(理想)'!S66</f>
        <v>0</v>
      </c>
      <c r="T66" s="20">
        <f>'伤害统计(理想)'!T66</f>
        <v>0</v>
      </c>
      <c r="U66" s="20">
        <f>'伤害统计(理想)'!U66</f>
        <v>0</v>
      </c>
      <c r="V66" s="20">
        <f>'伤害统计(理想)'!V66</f>
        <v>0</v>
      </c>
      <c r="W66" s="20">
        <f>'伤害统计(理想)'!W66</f>
        <v>0</v>
      </c>
      <c r="X66" s="20">
        <f>'伤害统计(理想)'!X66</f>
        <v>0</v>
      </c>
      <c r="Y66" s="20">
        <f>'伤害统计(理想)'!Y66</f>
        <v>0</v>
      </c>
      <c r="Z66" s="20">
        <f>'伤害统计(理想)'!Z66</f>
        <v>0</v>
      </c>
      <c r="AA66" s="20">
        <f>'伤害统计(理想)'!AA66</f>
        <v>0</v>
      </c>
      <c r="AB66" s="20">
        <f>'伤害统计(理想)'!AB66</f>
        <v>0</v>
      </c>
    </row>
    <row r="67" spans="1:9">
      <c r="A67" s="20" t="str">
        <f>'伤害统计(理想)'!A67</f>
        <v>四象轮回·神兵</v>
      </c>
      <c r="B67" s="20">
        <f>'伤害统计(理想)'!B67</f>
        <v>0</v>
      </c>
      <c r="C67" s="20">
        <f>'伤害统计(理想)'!C67</f>
        <v>0</v>
      </c>
      <c r="D67" s="20">
        <f>'伤害统计(理想)'!D67</f>
        <v>0</v>
      </c>
      <c r="E67" s="20">
        <f>'伤害统计(理想)'!E67</f>
        <v>0</v>
      </c>
      <c r="F67" s="20">
        <f>'伤害统计(理想)'!F67</f>
        <v>0</v>
      </c>
      <c r="G67" s="20">
        <f>'伤害统计(理想)'!G67</f>
        <v>0</v>
      </c>
      <c r="H67" s="20">
        <f>'伤害统计(理想)'!H67</f>
        <v>0</v>
      </c>
      <c r="I67" s="20">
        <f>'伤害统计(理想)'!I67</f>
        <v>0</v>
      </c>
    </row>
    <row r="69" spans="33:33">
      <c r="AG69" s="33"/>
    </row>
    <row r="70" spans="2:12">
      <c r="B70" s="20" t="s">
        <v>365</v>
      </c>
      <c r="C70" s="20" t="s">
        <v>987</v>
      </c>
      <c r="D70" s="20" t="s">
        <v>988</v>
      </c>
      <c r="E70" s="20" t="s">
        <v>989</v>
      </c>
      <c r="F70" s="20" t="s">
        <v>990</v>
      </c>
      <c r="G70" s="20" t="s">
        <v>991</v>
      </c>
      <c r="H70" s="20" t="s">
        <v>992</v>
      </c>
      <c r="I70" s="20" t="s">
        <v>993</v>
      </c>
      <c r="L70" s="20" t="s">
        <v>996</v>
      </c>
    </row>
    <row r="71" spans="1:12">
      <c r="A71" s="20" t="s">
        <v>959</v>
      </c>
      <c r="B71" s="20">
        <f t="shared" ref="B71:B100" si="15">(AC2*(1-Q2)+AF2*Q2)*B38</f>
        <v>4561691.51333</v>
      </c>
      <c r="C71" s="20">
        <f t="shared" ref="C71:C100" si="16">(AI2*(1-S2)+AJ2*S2)*C38</f>
        <v>0</v>
      </c>
      <c r="D71" s="20">
        <f t="shared" ref="D71:D100" si="17">(AD2*(1-S2)+AG2*S2)*D38</f>
        <v>0</v>
      </c>
      <c r="E71" s="20">
        <f t="shared" ref="E71:E100" si="18">(AD2*(1-S2)+AM2*S2)*E38</f>
        <v>0</v>
      </c>
      <c r="F71" s="20">
        <f t="shared" ref="F71:F100" si="19">(AE2*(1-Q2)+AH2*Q2)*F38</f>
        <v>0</v>
      </c>
      <c r="G71" s="20">
        <f t="shared" ref="G71:G100" si="20">(AK2*(1-S2)+AL2*S2)*G38</f>
        <v>0</v>
      </c>
      <c r="H71" s="20">
        <f t="shared" ref="H71:H100" si="21">(AE2*(1-S2)+AH2*S2)*H38</f>
        <v>0</v>
      </c>
      <c r="I71" s="20">
        <f t="shared" ref="I71:I100" si="22">(AE2*(1-S2)+AN2*S2)*I38</f>
        <v>0</v>
      </c>
      <c r="K71" s="20">
        <f t="shared" ref="K71:K99" si="23">INT(SUM(B71:I71))</f>
        <v>4561691</v>
      </c>
      <c r="L71" s="20">
        <f>K71</f>
        <v>4561691</v>
      </c>
    </row>
    <row r="72" spans="1:12">
      <c r="A72" s="20" t="s">
        <v>960</v>
      </c>
      <c r="B72" s="20">
        <f t="shared" si="15"/>
        <v>7559831.99565</v>
      </c>
      <c r="C72" s="20">
        <f t="shared" si="16"/>
        <v>0</v>
      </c>
      <c r="D72" s="20">
        <f t="shared" si="17"/>
        <v>676676.78465</v>
      </c>
      <c r="E72" s="20">
        <f t="shared" si="18"/>
        <v>1452180.6818</v>
      </c>
      <c r="F72" s="20">
        <f t="shared" si="19"/>
        <v>273741.29336</v>
      </c>
      <c r="G72" s="20">
        <f t="shared" si="20"/>
        <v>0</v>
      </c>
      <c r="H72" s="20">
        <f t="shared" si="21"/>
        <v>335602.09176</v>
      </c>
      <c r="I72" s="20">
        <f t="shared" si="22"/>
        <v>627472.62684</v>
      </c>
      <c r="K72" s="20">
        <f t="shared" si="23"/>
        <v>10925505</v>
      </c>
      <c r="L72" s="20">
        <f>SUM(K72:K76)</f>
        <v>68060989</v>
      </c>
    </row>
    <row r="73" spans="1:11">
      <c r="A73" s="20" t="s">
        <v>961</v>
      </c>
      <c r="B73" s="20">
        <f t="shared" si="15"/>
        <v>8489459.367675</v>
      </c>
      <c r="C73" s="20">
        <f t="shared" si="16"/>
        <v>0</v>
      </c>
      <c r="D73" s="20">
        <f t="shared" si="17"/>
        <v>759871.79595</v>
      </c>
      <c r="E73" s="20">
        <f t="shared" si="18"/>
        <v>1630728.3039</v>
      </c>
      <c r="F73" s="20">
        <f t="shared" si="19"/>
        <v>307401.29429</v>
      </c>
      <c r="G73" s="20">
        <f t="shared" si="20"/>
        <v>0</v>
      </c>
      <c r="H73" s="20">
        <f t="shared" si="21"/>
        <v>376868.73689</v>
      </c>
      <c r="I73" s="20">
        <f t="shared" si="22"/>
        <v>704629.72218</v>
      </c>
      <c r="K73" s="20">
        <f t="shared" si="23"/>
        <v>12268959</v>
      </c>
    </row>
    <row r="74" spans="1:11">
      <c r="A74" s="20" t="s">
        <v>962</v>
      </c>
      <c r="B74" s="20">
        <f t="shared" si="15"/>
        <v>9418888.39023</v>
      </c>
      <c r="C74" s="20">
        <f t="shared" si="16"/>
        <v>0</v>
      </c>
      <c r="D74" s="20">
        <f t="shared" si="17"/>
        <v>843070.536575</v>
      </c>
      <c r="E74" s="20">
        <f t="shared" si="18"/>
        <v>1809275.926</v>
      </c>
      <c r="F74" s="20">
        <f t="shared" si="19"/>
        <v>341057.28816</v>
      </c>
      <c r="G74" s="20">
        <f t="shared" si="20"/>
        <v>0</v>
      </c>
      <c r="H74" s="20">
        <f t="shared" si="21"/>
        <v>418130.39856</v>
      </c>
      <c r="I74" s="20">
        <f t="shared" si="22"/>
        <v>781773.86714</v>
      </c>
      <c r="K74" s="20">
        <f t="shared" si="23"/>
        <v>13612196</v>
      </c>
    </row>
    <row r="75" spans="1:11">
      <c r="A75" s="20" t="s">
        <v>963</v>
      </c>
      <c r="B75" s="20">
        <f t="shared" si="15"/>
        <v>10348317.412785</v>
      </c>
      <c r="C75" s="20">
        <f t="shared" si="16"/>
        <v>0</v>
      </c>
      <c r="D75" s="20">
        <f t="shared" si="17"/>
        <v>926269.2772</v>
      </c>
      <c r="E75" s="20">
        <f t="shared" si="18"/>
        <v>1987831.00675</v>
      </c>
      <c r="F75" s="20">
        <f t="shared" si="19"/>
        <v>374713.28203</v>
      </c>
      <c r="G75" s="20">
        <f t="shared" si="20"/>
        <v>0</v>
      </c>
      <c r="H75" s="20">
        <f t="shared" si="21"/>
        <v>459392.06023</v>
      </c>
      <c r="I75" s="20">
        <f t="shared" si="22"/>
        <v>858920.99556</v>
      </c>
      <c r="K75" s="20">
        <f t="shared" si="23"/>
        <v>14955444</v>
      </c>
    </row>
    <row r="76" spans="1:11">
      <c r="A76" s="20" t="s">
        <v>964</v>
      </c>
      <c r="B76" s="20">
        <f t="shared" si="15"/>
        <v>11277944.78481</v>
      </c>
      <c r="C76" s="20">
        <f t="shared" si="16"/>
        <v>0</v>
      </c>
      <c r="D76" s="20">
        <f t="shared" si="17"/>
        <v>1009468.017825</v>
      </c>
      <c r="E76" s="20">
        <f t="shared" si="18"/>
        <v>2166378.62885</v>
      </c>
      <c r="F76" s="20">
        <f t="shared" si="19"/>
        <v>408370.27943</v>
      </c>
      <c r="G76" s="20">
        <f t="shared" si="20"/>
        <v>0</v>
      </c>
      <c r="H76" s="20">
        <f t="shared" si="21"/>
        <v>500655.21363</v>
      </c>
      <c r="I76" s="20">
        <f t="shared" si="22"/>
        <v>936068.12398</v>
      </c>
      <c r="K76" s="20">
        <f t="shared" si="23"/>
        <v>16298885</v>
      </c>
    </row>
    <row r="77" spans="1:12">
      <c r="A77" s="20" t="s">
        <v>965</v>
      </c>
      <c r="B77" s="20">
        <f t="shared" si="15"/>
        <v>2032344.79518</v>
      </c>
      <c r="C77" s="20">
        <f t="shared" si="16"/>
        <v>0</v>
      </c>
      <c r="D77" s="20">
        <f t="shared" si="17"/>
        <v>0</v>
      </c>
      <c r="E77" s="20">
        <f t="shared" si="18"/>
        <v>13697616.0925</v>
      </c>
      <c r="F77" s="20">
        <f t="shared" si="19"/>
        <v>0</v>
      </c>
      <c r="G77" s="20">
        <f t="shared" si="20"/>
        <v>0</v>
      </c>
      <c r="H77" s="20">
        <f t="shared" si="21"/>
        <v>0</v>
      </c>
      <c r="I77" s="20">
        <f t="shared" si="22"/>
        <v>5918578.2124</v>
      </c>
      <c r="K77" s="20">
        <f t="shared" si="23"/>
        <v>21648539</v>
      </c>
      <c r="L77" s="20">
        <f t="shared" ref="L77:L79" si="24">K77</f>
        <v>21648539</v>
      </c>
    </row>
    <row r="78" spans="1:12">
      <c r="A78" s="35" t="s">
        <v>966</v>
      </c>
      <c r="B78" s="20">
        <f t="shared" si="15"/>
        <v>371300.63222</v>
      </c>
      <c r="C78" s="20">
        <f t="shared" si="16"/>
        <v>0</v>
      </c>
      <c r="D78" s="20">
        <f t="shared" si="17"/>
        <v>0</v>
      </c>
      <c r="E78" s="20">
        <f t="shared" si="18"/>
        <v>0</v>
      </c>
      <c r="F78" s="20">
        <f t="shared" si="19"/>
        <v>0</v>
      </c>
      <c r="G78" s="20">
        <f t="shared" si="20"/>
        <v>0</v>
      </c>
      <c r="H78" s="20">
        <f t="shared" si="21"/>
        <v>0</v>
      </c>
      <c r="I78" s="20">
        <f t="shared" si="22"/>
        <v>0</v>
      </c>
      <c r="K78" s="20">
        <f t="shared" si="23"/>
        <v>371300</v>
      </c>
      <c r="L78" s="20">
        <f t="shared" si="24"/>
        <v>371300</v>
      </c>
    </row>
    <row r="79" spans="1:12">
      <c r="A79" s="20" t="s">
        <v>967</v>
      </c>
      <c r="B79" s="20">
        <f t="shared" si="15"/>
        <v>13193568.15861</v>
      </c>
      <c r="C79" s="20">
        <f t="shared" si="16"/>
        <v>0</v>
      </c>
      <c r="D79" s="20">
        <f t="shared" si="17"/>
        <v>2770686.226525</v>
      </c>
      <c r="E79" s="20">
        <f t="shared" si="18"/>
        <v>5969896.5279</v>
      </c>
      <c r="F79" s="20">
        <f t="shared" si="19"/>
        <v>1085602.86516</v>
      </c>
      <c r="G79" s="20">
        <f t="shared" si="20"/>
        <v>0</v>
      </c>
      <c r="H79" s="20">
        <f t="shared" si="21"/>
        <v>1292000.15556</v>
      </c>
      <c r="I79" s="20">
        <f t="shared" si="22"/>
        <v>2579545.54376</v>
      </c>
      <c r="K79" s="20">
        <f t="shared" si="23"/>
        <v>26891299</v>
      </c>
      <c r="L79" s="20">
        <f t="shared" si="24"/>
        <v>26891299</v>
      </c>
    </row>
    <row r="80" spans="1:12">
      <c r="A80" s="20" t="s">
        <v>1001</v>
      </c>
      <c r="B80" s="20">
        <f t="shared" si="15"/>
        <v>11142673.42293</v>
      </c>
      <c r="C80" s="20">
        <f t="shared" si="16"/>
        <v>0</v>
      </c>
      <c r="D80" s="20">
        <f t="shared" si="17"/>
        <v>2331424.161775</v>
      </c>
      <c r="E80" s="20">
        <f t="shared" si="18"/>
        <v>7518424.7937</v>
      </c>
      <c r="F80" s="20">
        <f t="shared" si="19"/>
        <v>900565.51128</v>
      </c>
      <c r="G80" s="20">
        <f t="shared" si="20"/>
        <v>0</v>
      </c>
      <c r="H80" s="20">
        <f t="shared" si="21"/>
        <v>1084702.83448</v>
      </c>
      <c r="I80" s="20">
        <f t="shared" si="22"/>
        <v>3248657.7438</v>
      </c>
      <c r="K80" s="20">
        <f t="shared" si="23"/>
        <v>26226448</v>
      </c>
      <c r="L80" s="20">
        <f>SUM(K80:K82)</f>
        <v>28865552</v>
      </c>
    </row>
    <row r="81" spans="1:11">
      <c r="A81" s="20" t="s">
        <v>969</v>
      </c>
      <c r="B81" s="20">
        <f t="shared" si="15"/>
        <v>2639104.29414</v>
      </c>
      <c r="C81" s="20">
        <f t="shared" si="16"/>
        <v>0</v>
      </c>
      <c r="D81" s="20">
        <f t="shared" si="17"/>
        <v>0</v>
      </c>
      <c r="E81" s="20">
        <f t="shared" si="18"/>
        <v>0</v>
      </c>
      <c r="F81" s="20">
        <f t="shared" si="19"/>
        <v>0</v>
      </c>
      <c r="G81" s="20">
        <f t="shared" si="20"/>
        <v>0</v>
      </c>
      <c r="H81" s="20">
        <f t="shared" si="21"/>
        <v>0</v>
      </c>
      <c r="I81" s="20">
        <f t="shared" si="22"/>
        <v>0</v>
      </c>
      <c r="K81" s="20">
        <f t="shared" si="23"/>
        <v>2639104</v>
      </c>
    </row>
    <row r="82" spans="1:11">
      <c r="A82" s="20" t="s">
        <v>970</v>
      </c>
      <c r="B82" s="20">
        <f t="shared" si="15"/>
        <v>0</v>
      </c>
      <c r="C82" s="20">
        <f t="shared" si="16"/>
        <v>0</v>
      </c>
      <c r="D82" s="20">
        <f t="shared" si="17"/>
        <v>0</v>
      </c>
      <c r="E82" s="20">
        <f t="shared" si="18"/>
        <v>0</v>
      </c>
      <c r="F82" s="20">
        <f t="shared" si="19"/>
        <v>0</v>
      </c>
      <c r="G82" s="20">
        <f t="shared" si="20"/>
        <v>0</v>
      </c>
      <c r="H82" s="20">
        <f t="shared" si="21"/>
        <v>0</v>
      </c>
      <c r="I82" s="20">
        <f t="shared" si="22"/>
        <v>0</v>
      </c>
      <c r="K82" s="20">
        <f t="shared" si="23"/>
        <v>0</v>
      </c>
    </row>
    <row r="83" spans="1:12">
      <c r="A83" s="35" t="s">
        <v>971</v>
      </c>
      <c r="B83" s="20">
        <f t="shared" si="15"/>
        <v>1080453.815025</v>
      </c>
      <c r="C83" s="20">
        <f t="shared" si="16"/>
        <v>0</v>
      </c>
      <c r="D83" s="20">
        <f t="shared" si="17"/>
        <v>0</v>
      </c>
      <c r="E83" s="20">
        <f t="shared" si="18"/>
        <v>0</v>
      </c>
      <c r="F83" s="20">
        <f t="shared" si="19"/>
        <v>0</v>
      </c>
      <c r="G83" s="20">
        <f t="shared" si="20"/>
        <v>0</v>
      </c>
      <c r="H83" s="20">
        <f t="shared" si="21"/>
        <v>0</v>
      </c>
      <c r="I83" s="20">
        <f t="shared" si="22"/>
        <v>0</v>
      </c>
      <c r="K83" s="20">
        <f t="shared" si="23"/>
        <v>1080453</v>
      </c>
      <c r="L83" s="20">
        <f>SUM(K83:K87)</f>
        <v>13311857</v>
      </c>
    </row>
    <row r="84" spans="1:11">
      <c r="A84" s="35" t="s">
        <v>972</v>
      </c>
      <c r="B84" s="20">
        <f t="shared" si="15"/>
        <v>673208.99124</v>
      </c>
      <c r="C84" s="20">
        <f t="shared" si="16"/>
        <v>0</v>
      </c>
      <c r="D84" s="20">
        <f t="shared" si="17"/>
        <v>0</v>
      </c>
      <c r="E84" s="20">
        <f t="shared" si="18"/>
        <v>1067286.288025</v>
      </c>
      <c r="F84" s="20">
        <f t="shared" si="19"/>
        <v>0</v>
      </c>
      <c r="G84" s="20">
        <f t="shared" si="20"/>
        <v>0</v>
      </c>
      <c r="H84" s="20">
        <f t="shared" si="21"/>
        <v>0</v>
      </c>
      <c r="I84" s="20">
        <f t="shared" si="22"/>
        <v>461163.35657</v>
      </c>
      <c r="K84" s="20">
        <f t="shared" si="23"/>
        <v>2201658</v>
      </c>
    </row>
    <row r="85" spans="1:11">
      <c r="A85" s="35" t="s">
        <v>973</v>
      </c>
      <c r="B85" s="20">
        <f t="shared" si="15"/>
        <v>847737.98034</v>
      </c>
      <c r="C85" s="20">
        <f t="shared" si="16"/>
        <v>0</v>
      </c>
      <c r="D85" s="20">
        <f t="shared" si="17"/>
        <v>0</v>
      </c>
      <c r="E85" s="20">
        <f t="shared" si="18"/>
        <v>1343977.77595</v>
      </c>
      <c r="F85" s="20">
        <f t="shared" si="19"/>
        <v>0</v>
      </c>
      <c r="G85" s="20">
        <f t="shared" si="20"/>
        <v>0</v>
      </c>
      <c r="H85" s="20">
        <f t="shared" si="21"/>
        <v>0</v>
      </c>
      <c r="I85" s="20">
        <f t="shared" si="22"/>
        <v>580724.70276</v>
      </c>
      <c r="K85" s="20">
        <f t="shared" si="23"/>
        <v>2772440</v>
      </c>
    </row>
    <row r="86" spans="1:11">
      <c r="A86" s="35" t="s">
        <v>974</v>
      </c>
      <c r="B86" s="20">
        <f t="shared" si="15"/>
        <v>1022278.99062</v>
      </c>
      <c r="C86" s="20">
        <f t="shared" si="16"/>
        <v>0</v>
      </c>
      <c r="D86" s="20">
        <f t="shared" si="17"/>
        <v>0</v>
      </c>
      <c r="E86" s="20">
        <f t="shared" si="18"/>
        <v>1620685.45185</v>
      </c>
      <c r="F86" s="20">
        <f t="shared" si="19"/>
        <v>0</v>
      </c>
      <c r="G86" s="20">
        <f t="shared" si="20"/>
        <v>0</v>
      </c>
      <c r="H86" s="20">
        <f t="shared" si="21"/>
        <v>0</v>
      </c>
      <c r="I86" s="20">
        <f t="shared" si="22"/>
        <v>700288.04895</v>
      </c>
      <c r="K86" s="20">
        <f t="shared" si="23"/>
        <v>3343252</v>
      </c>
    </row>
    <row r="87" spans="1:11">
      <c r="A87" s="35" t="s">
        <v>975</v>
      </c>
      <c r="B87" s="20">
        <f t="shared" si="15"/>
        <v>1196816.99031</v>
      </c>
      <c r="C87" s="20">
        <f t="shared" si="16"/>
        <v>0</v>
      </c>
      <c r="D87" s="20">
        <f t="shared" si="17"/>
        <v>0</v>
      </c>
      <c r="E87" s="20">
        <f t="shared" si="18"/>
        <v>1897389.398425</v>
      </c>
      <c r="F87" s="20">
        <f t="shared" si="19"/>
        <v>0</v>
      </c>
      <c r="G87" s="20">
        <f t="shared" si="20"/>
        <v>0</v>
      </c>
      <c r="H87" s="20">
        <f t="shared" si="21"/>
        <v>0</v>
      </c>
      <c r="I87" s="20">
        <f t="shared" si="22"/>
        <v>819847.90341</v>
      </c>
      <c r="K87" s="20">
        <f t="shared" si="23"/>
        <v>3914054</v>
      </c>
    </row>
    <row r="88" spans="1:12">
      <c r="A88" s="20" t="s">
        <v>976</v>
      </c>
      <c r="B88" s="20">
        <f t="shared" si="15"/>
        <v>27330845.20713</v>
      </c>
      <c r="C88" s="20">
        <f t="shared" si="16"/>
        <v>0</v>
      </c>
      <c r="D88" s="20">
        <f t="shared" si="17"/>
        <v>3263673.617975</v>
      </c>
      <c r="E88" s="20">
        <f t="shared" si="18"/>
        <v>10506033.1482</v>
      </c>
      <c r="F88" s="20">
        <f t="shared" si="19"/>
        <v>1251012.66595</v>
      </c>
      <c r="G88" s="20">
        <f t="shared" si="20"/>
        <v>0</v>
      </c>
      <c r="H88" s="20">
        <f t="shared" si="21"/>
        <v>1515673.20895</v>
      </c>
      <c r="I88" s="20">
        <f t="shared" si="22"/>
        <v>4539581.86107</v>
      </c>
      <c r="K88" s="20">
        <f t="shared" si="23"/>
        <v>48406819</v>
      </c>
      <c r="L88" s="20">
        <f>SUM(K88:K90)</f>
        <v>50967950</v>
      </c>
    </row>
    <row r="89" spans="1:11">
      <c r="A89" s="20" t="s">
        <v>977</v>
      </c>
      <c r="B89" s="20">
        <f t="shared" si="15"/>
        <v>0</v>
      </c>
      <c r="C89" s="20">
        <f t="shared" si="16"/>
        <v>0</v>
      </c>
      <c r="D89" s="20">
        <f t="shared" si="17"/>
        <v>0</v>
      </c>
      <c r="E89" s="20">
        <f t="shared" si="18"/>
        <v>0</v>
      </c>
      <c r="F89" s="20">
        <f t="shared" si="19"/>
        <v>0</v>
      </c>
      <c r="G89" s="20">
        <f t="shared" si="20"/>
        <v>0</v>
      </c>
      <c r="H89" s="20">
        <f t="shared" si="21"/>
        <v>0</v>
      </c>
      <c r="I89" s="20">
        <f t="shared" si="22"/>
        <v>0</v>
      </c>
      <c r="K89" s="20">
        <f t="shared" si="23"/>
        <v>0</v>
      </c>
    </row>
    <row r="90" spans="1:11">
      <c r="A90" s="20" t="s">
        <v>978</v>
      </c>
      <c r="B90" s="20">
        <f t="shared" si="15"/>
        <v>2561131.22944</v>
      </c>
      <c r="C90" s="20">
        <f t="shared" si="16"/>
        <v>0</v>
      </c>
      <c r="D90" s="20">
        <f t="shared" si="17"/>
        <v>0</v>
      </c>
      <c r="E90" s="20">
        <f t="shared" si="18"/>
        <v>0</v>
      </c>
      <c r="F90" s="20">
        <f t="shared" si="19"/>
        <v>0</v>
      </c>
      <c r="G90" s="20">
        <f t="shared" si="20"/>
        <v>0</v>
      </c>
      <c r="H90" s="20">
        <f t="shared" si="21"/>
        <v>0</v>
      </c>
      <c r="I90" s="20">
        <f t="shared" si="22"/>
        <v>0</v>
      </c>
      <c r="K90" s="20">
        <f t="shared" si="23"/>
        <v>2561131</v>
      </c>
    </row>
    <row r="91" spans="1:12">
      <c r="A91" s="35" t="s">
        <v>979</v>
      </c>
      <c r="B91" s="20">
        <f t="shared" si="15"/>
        <v>111102.1289</v>
      </c>
      <c r="C91" s="20">
        <f t="shared" si="16"/>
        <v>0</v>
      </c>
      <c r="D91" s="20">
        <f t="shared" si="17"/>
        <v>0</v>
      </c>
      <c r="E91" s="20">
        <f t="shared" si="18"/>
        <v>0</v>
      </c>
      <c r="F91" s="20">
        <f t="shared" si="19"/>
        <v>0</v>
      </c>
      <c r="G91" s="20">
        <f t="shared" si="20"/>
        <v>0</v>
      </c>
      <c r="H91" s="20">
        <f t="shared" si="21"/>
        <v>0</v>
      </c>
      <c r="I91" s="20">
        <f t="shared" si="22"/>
        <v>0</v>
      </c>
      <c r="K91" s="20">
        <f t="shared" si="23"/>
        <v>111102</v>
      </c>
      <c r="L91" s="20">
        <f t="shared" ref="L91:L99" si="25">K91</f>
        <v>111102</v>
      </c>
    </row>
    <row r="92" spans="1:12">
      <c r="A92" s="35" t="s">
        <v>364</v>
      </c>
      <c r="B92" s="20">
        <f t="shared" si="15"/>
        <v>0</v>
      </c>
      <c r="C92" s="20">
        <f t="shared" si="16"/>
        <v>0</v>
      </c>
      <c r="D92" s="20">
        <f t="shared" si="17"/>
        <v>0</v>
      </c>
      <c r="E92" s="20">
        <f t="shared" si="18"/>
        <v>0</v>
      </c>
      <c r="F92" s="20">
        <f t="shared" si="19"/>
        <v>0</v>
      </c>
      <c r="G92" s="20">
        <f t="shared" si="20"/>
        <v>0</v>
      </c>
      <c r="H92" s="20">
        <f t="shared" si="21"/>
        <v>0</v>
      </c>
      <c r="I92" s="20">
        <f t="shared" si="22"/>
        <v>0</v>
      </c>
      <c r="K92" s="20">
        <f t="shared" si="23"/>
        <v>0</v>
      </c>
      <c r="L92" s="20">
        <f t="shared" si="25"/>
        <v>0</v>
      </c>
    </row>
    <row r="93" spans="1:12">
      <c r="A93" s="35" t="s">
        <v>980</v>
      </c>
      <c r="B93" s="20">
        <f t="shared" si="15"/>
        <v>406112.90296</v>
      </c>
      <c r="C93" s="20">
        <f t="shared" si="16"/>
        <v>0</v>
      </c>
      <c r="D93" s="20">
        <f t="shared" si="17"/>
        <v>0</v>
      </c>
      <c r="E93" s="20">
        <f t="shared" si="18"/>
        <v>241322.2087</v>
      </c>
      <c r="F93" s="20">
        <f t="shared" si="19"/>
        <v>86209.87374</v>
      </c>
      <c r="G93" s="20">
        <f t="shared" si="20"/>
        <v>0</v>
      </c>
      <c r="H93" s="20">
        <f t="shared" si="21"/>
        <v>0</v>
      </c>
      <c r="I93" s="20">
        <f t="shared" si="22"/>
        <v>0</v>
      </c>
      <c r="K93" s="20">
        <f t="shared" si="23"/>
        <v>733644</v>
      </c>
      <c r="L93" s="20">
        <f t="shared" si="25"/>
        <v>733644</v>
      </c>
    </row>
    <row r="94" spans="1:12">
      <c r="A94" s="35" t="s">
        <v>981</v>
      </c>
      <c r="B94" s="20">
        <f t="shared" si="15"/>
        <v>638493.83346</v>
      </c>
      <c r="C94" s="20">
        <f t="shared" si="16"/>
        <v>0</v>
      </c>
      <c r="D94" s="20">
        <f t="shared" si="17"/>
        <v>0</v>
      </c>
      <c r="E94" s="20">
        <f t="shared" si="18"/>
        <v>173530.44194</v>
      </c>
      <c r="F94" s="20">
        <f t="shared" si="19"/>
        <v>0</v>
      </c>
      <c r="G94" s="20">
        <f t="shared" si="20"/>
        <v>0</v>
      </c>
      <c r="H94" s="20">
        <f t="shared" si="21"/>
        <v>0</v>
      </c>
      <c r="I94" s="20">
        <f t="shared" si="22"/>
        <v>0</v>
      </c>
      <c r="K94" s="20">
        <f t="shared" si="23"/>
        <v>812024</v>
      </c>
      <c r="L94" s="20">
        <f t="shared" si="25"/>
        <v>812024</v>
      </c>
    </row>
    <row r="95" spans="1:12">
      <c r="A95" s="35" t="s">
        <v>72</v>
      </c>
      <c r="B95" s="20">
        <f t="shared" si="15"/>
        <v>0</v>
      </c>
      <c r="C95" s="20">
        <f t="shared" si="16"/>
        <v>0</v>
      </c>
      <c r="D95" s="20">
        <f t="shared" si="17"/>
        <v>0</v>
      </c>
      <c r="E95" s="20">
        <f t="shared" si="18"/>
        <v>0</v>
      </c>
      <c r="F95" s="20">
        <f t="shared" si="19"/>
        <v>0</v>
      </c>
      <c r="G95" s="20">
        <f t="shared" si="20"/>
        <v>0</v>
      </c>
      <c r="H95" s="20">
        <f t="shared" si="21"/>
        <v>0</v>
      </c>
      <c r="I95" s="20">
        <f t="shared" si="22"/>
        <v>0</v>
      </c>
      <c r="K95" s="20">
        <f t="shared" si="23"/>
        <v>0</v>
      </c>
      <c r="L95" s="20">
        <f t="shared" si="25"/>
        <v>0</v>
      </c>
    </row>
    <row r="96" spans="1:12">
      <c r="A96" s="35" t="s">
        <v>70</v>
      </c>
      <c r="B96" s="20">
        <f t="shared" si="15"/>
        <v>0</v>
      </c>
      <c r="C96" s="20">
        <f t="shared" si="16"/>
        <v>0</v>
      </c>
      <c r="D96" s="20">
        <f t="shared" si="17"/>
        <v>0</v>
      </c>
      <c r="E96" s="20">
        <f t="shared" si="18"/>
        <v>0</v>
      </c>
      <c r="F96" s="20">
        <f t="shared" si="19"/>
        <v>0</v>
      </c>
      <c r="G96" s="20">
        <f t="shared" si="20"/>
        <v>0</v>
      </c>
      <c r="H96" s="20">
        <f t="shared" si="21"/>
        <v>0</v>
      </c>
      <c r="I96" s="20">
        <f t="shared" si="22"/>
        <v>0</v>
      </c>
      <c r="K96" s="20">
        <f t="shared" si="23"/>
        <v>0</v>
      </c>
      <c r="L96" s="20">
        <f t="shared" si="25"/>
        <v>0</v>
      </c>
    </row>
    <row r="97" spans="1:12">
      <c r="A97" s="35" t="s">
        <v>982</v>
      </c>
      <c r="B97" s="20">
        <f t="shared" si="15"/>
        <v>0</v>
      </c>
      <c r="C97" s="20">
        <f t="shared" si="16"/>
        <v>0</v>
      </c>
      <c r="D97" s="20">
        <f t="shared" si="17"/>
        <v>0</v>
      </c>
      <c r="E97" s="20">
        <f t="shared" si="18"/>
        <v>0</v>
      </c>
      <c r="F97" s="20">
        <f t="shared" si="19"/>
        <v>0</v>
      </c>
      <c r="G97" s="20">
        <f t="shared" si="20"/>
        <v>0</v>
      </c>
      <c r="H97" s="20">
        <f t="shared" si="21"/>
        <v>0</v>
      </c>
      <c r="I97" s="20">
        <f t="shared" si="22"/>
        <v>0</v>
      </c>
      <c r="K97" s="20">
        <f t="shared" si="23"/>
        <v>0</v>
      </c>
      <c r="L97" s="20">
        <f t="shared" si="25"/>
        <v>0</v>
      </c>
    </row>
    <row r="98" spans="1:12">
      <c r="A98" s="20" t="s">
        <v>983</v>
      </c>
      <c r="B98" s="20">
        <f t="shared" si="15"/>
        <v>0</v>
      </c>
      <c r="C98" s="20">
        <f t="shared" si="16"/>
        <v>0</v>
      </c>
      <c r="D98" s="20">
        <f t="shared" si="17"/>
        <v>0</v>
      </c>
      <c r="E98" s="20">
        <f t="shared" si="18"/>
        <v>0</v>
      </c>
      <c r="F98" s="20">
        <f t="shared" si="19"/>
        <v>0</v>
      </c>
      <c r="G98" s="20">
        <f t="shared" si="20"/>
        <v>0</v>
      </c>
      <c r="H98" s="20">
        <f t="shared" si="21"/>
        <v>0</v>
      </c>
      <c r="I98" s="20">
        <f t="shared" si="22"/>
        <v>0</v>
      </c>
      <c r="K98" s="20">
        <f t="shared" si="23"/>
        <v>0</v>
      </c>
      <c r="L98" s="20">
        <f t="shared" si="25"/>
        <v>0</v>
      </c>
    </row>
    <row r="99" spans="1:12">
      <c r="A99" s="35" t="s">
        <v>984</v>
      </c>
      <c r="B99" s="20">
        <f t="shared" si="15"/>
        <v>0</v>
      </c>
      <c r="C99" s="20">
        <f t="shared" si="16"/>
        <v>0</v>
      </c>
      <c r="D99" s="20">
        <f t="shared" si="17"/>
        <v>0</v>
      </c>
      <c r="E99" s="20">
        <f t="shared" si="18"/>
        <v>0</v>
      </c>
      <c r="F99" s="20">
        <f t="shared" si="19"/>
        <v>0</v>
      </c>
      <c r="G99" s="20">
        <f t="shared" si="20"/>
        <v>0</v>
      </c>
      <c r="H99" s="20">
        <f t="shared" si="21"/>
        <v>0</v>
      </c>
      <c r="I99" s="20">
        <f t="shared" si="22"/>
        <v>0</v>
      </c>
      <c r="K99" s="20">
        <f t="shared" si="23"/>
        <v>0</v>
      </c>
      <c r="L99" s="20">
        <f t="shared" si="25"/>
        <v>0</v>
      </c>
    </row>
    <row r="100" spans="1:9">
      <c r="A100" s="20" t="s">
        <v>985</v>
      </c>
      <c r="B100" s="20">
        <f t="shared" si="15"/>
        <v>0</v>
      </c>
      <c r="C100" s="20">
        <f t="shared" si="16"/>
        <v>0</v>
      </c>
      <c r="D100" s="20">
        <f t="shared" si="17"/>
        <v>0</v>
      </c>
      <c r="E100" s="20">
        <f t="shared" si="18"/>
        <v>0</v>
      </c>
      <c r="F100" s="20">
        <f t="shared" si="19"/>
        <v>0</v>
      </c>
      <c r="G100" s="20">
        <f t="shared" si="20"/>
        <v>0</v>
      </c>
      <c r="H100" s="20">
        <f t="shared" si="21"/>
        <v>0</v>
      </c>
      <c r="I100" s="20">
        <f t="shared" si="22"/>
        <v>0</v>
      </c>
    </row>
    <row r="101" spans="9:9">
      <c r="I101" s="20">
        <f>INT(SUM(B71:I100)+(SUM(B71:I100)*8/35*1%*30%+SUM(B71:I100)*8/35*5%*70%)*额外增益统计!D168)</f>
        <v>218214987</v>
      </c>
    </row>
  </sheetData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1"/>
  <sheetViews>
    <sheetView workbookViewId="0">
      <pane xSplit="1" ySplit="1" topLeftCell="B56" activePane="bottomRight" state="frozen"/>
      <selection/>
      <selection pane="topRight"/>
      <selection pane="bottomLeft"/>
      <selection pane="bottomRight" activeCell="B55" sqref="B55"/>
    </sheetView>
  </sheetViews>
  <sheetFormatPr defaultColWidth="9.64166666666667" defaultRowHeight="13.5"/>
  <cols>
    <col min="1" max="1" width="17.25" style="20" customWidth="1"/>
    <col min="2" max="6" width="12.625" style="20"/>
    <col min="7" max="7" width="11.375" style="20" customWidth="1"/>
    <col min="8" max="8" width="9.75" style="20" customWidth="1"/>
    <col min="9" max="9" width="12.875" style="20" customWidth="1"/>
    <col min="10" max="10" width="11.25" style="20" customWidth="1"/>
    <col min="11" max="11" width="12.875" style="20" customWidth="1"/>
    <col min="12" max="12" width="10" style="20" customWidth="1"/>
    <col min="13" max="13" width="14.25" style="20" customWidth="1"/>
    <col min="14" max="14" width="8.875" style="20" customWidth="1"/>
    <col min="15" max="15" width="11.125" style="20" customWidth="1"/>
    <col min="16" max="19" width="12.875" style="20" customWidth="1"/>
    <col min="20" max="20" width="15" style="20" customWidth="1"/>
    <col min="21" max="21" width="12.875" style="20" customWidth="1"/>
    <col min="22" max="27" width="12.625" style="20"/>
    <col min="28" max="28" width="17.125" style="20" customWidth="1"/>
    <col min="29" max="30" width="12.625" style="20"/>
    <col min="31" max="31" width="19.125" style="20" customWidth="1"/>
    <col min="32" max="32" width="13.125" style="20" customWidth="1"/>
    <col min="33" max="33" width="16.25" style="20" customWidth="1"/>
    <col min="34" max="34" width="22.25" style="20" customWidth="1"/>
    <col min="35" max="37" width="12.875" style="20" customWidth="1"/>
    <col min="38" max="38" width="17.125" style="20" customWidth="1"/>
    <col min="39" max="39" width="21.5" style="20" customWidth="1"/>
    <col min="40" max="40" width="11" style="20" customWidth="1"/>
    <col min="41" max="41" width="9" style="20" customWidth="1"/>
    <col min="42" max="16384" width="9.64166666666667" style="20"/>
  </cols>
  <sheetData>
    <row r="1" spans="1:40">
      <c r="A1" s="20">
        <f>'伤害统计(理想)'!A1</f>
        <v>0</v>
      </c>
      <c r="B1" s="20" t="str">
        <f>'伤害统计(理想)'!B1</f>
        <v>基础伤害</v>
      </c>
      <c r="C1" s="20" t="str">
        <f>'伤害统计(理想)'!C1</f>
        <v>基础攻击力</v>
      </c>
      <c r="D1" s="20" t="str">
        <f>'伤害统计(理想)'!D1</f>
        <v>攻击力</v>
      </c>
      <c r="E1" s="20" t="str">
        <f>'伤害统计(理想)'!E1</f>
        <v>攻击系数</v>
      </c>
      <c r="F1" s="20" t="str">
        <f>'伤害统计(理想)'!F1</f>
        <v>技改系数</v>
      </c>
      <c r="G1" s="20" t="str">
        <f>'伤害统计(理想)'!G1</f>
        <v>秘籍加成</v>
      </c>
      <c r="H1" s="20" t="str">
        <f>'伤害统计(理想)'!H1</f>
        <v>奇穴加成</v>
      </c>
      <c r="I1" s="20" t="str">
        <f>'伤害统计(理想)'!I1</f>
        <v>非侠加成</v>
      </c>
      <c r="J1" s="20" t="str">
        <f>'伤害统计(理想)'!J1</f>
        <v>破防值</v>
      </c>
      <c r="K1" s="20" t="str">
        <f>'伤害统计(理想)'!K1</f>
        <v>腰坠破防加成</v>
      </c>
      <c r="L1" s="20" t="str">
        <f>'伤害统计(理想)'!L1</f>
        <v>防御值</v>
      </c>
      <c r="M1" s="20" t="str">
        <f>'伤害统计(理想)'!M1</f>
        <v>无双</v>
      </c>
      <c r="N1" s="20" t="str">
        <f>'伤害统计(理想)'!N1</f>
        <v>等级压制</v>
      </c>
      <c r="O1" s="20" t="str">
        <f>'伤害统计(理想)'!O1</f>
        <v>会心</v>
      </c>
      <c r="P1" s="20" t="str">
        <f>'伤害统计(理想)'!P1</f>
        <v>奇穴会心加成</v>
      </c>
      <c r="Q1" s="20" t="str">
        <f>'伤害统计(理想)'!Q1</f>
        <v>常规最终会心</v>
      </c>
      <c r="R1" s="20" t="str">
        <f>'伤害统计(理想)'!R1</f>
        <v>紫气会心加成</v>
      </c>
      <c r="S1" s="20" t="str">
        <f>'伤害统计(理想)'!S1</f>
        <v>紫气最终会心</v>
      </c>
      <c r="T1" s="20" t="str">
        <f>'伤害统计(理想)'!T1</f>
        <v>会效</v>
      </c>
      <c r="U1" s="20" t="str">
        <f>'伤害统计(理想)'!U1</f>
        <v>奇穴会效加成</v>
      </c>
      <c r="V1" s="20" t="str">
        <f>'伤害统计(理想)'!V1</f>
        <v>常规最终会效</v>
      </c>
      <c r="W1" s="20" t="str">
        <f>'伤害统计(理想)'!W1</f>
        <v>厚亡会效加成</v>
      </c>
      <c r="X1" s="20" t="str">
        <f>'伤害统计(理想)'!X1</f>
        <v>厚亡最终会效</v>
      </c>
      <c r="Y1" s="20" t="str">
        <f>'伤害统计(理想)'!Y1</f>
        <v>紫气会效加成</v>
      </c>
      <c r="Z1" s="20" t="str">
        <f>'伤害统计(理想)'!Z1</f>
        <v>紫气最终会效</v>
      </c>
      <c r="AA1" s="20" t="str">
        <f>'伤害统计(理想)'!AA1</f>
        <v>会神会效加成</v>
      </c>
      <c r="AB1" s="20" t="str">
        <f>'伤害统计(理想)'!AB1</f>
        <v>会神紫气最终会效</v>
      </c>
      <c r="AC1" s="20" t="s">
        <v>947</v>
      </c>
      <c r="AD1" s="20" t="s">
        <v>948</v>
      </c>
      <c r="AE1" s="20" t="s">
        <v>949</v>
      </c>
      <c r="AF1" s="20" t="s">
        <v>950</v>
      </c>
      <c r="AG1" s="20" t="s">
        <v>951</v>
      </c>
      <c r="AH1" s="20" t="s">
        <v>952</v>
      </c>
      <c r="AI1" s="20" t="s">
        <v>953</v>
      </c>
      <c r="AJ1" s="20" t="s">
        <v>954</v>
      </c>
      <c r="AK1" s="20" t="s">
        <v>955</v>
      </c>
      <c r="AL1" s="20" t="s">
        <v>956</v>
      </c>
      <c r="AM1" s="20" t="s">
        <v>957</v>
      </c>
      <c r="AN1" s="20" t="s">
        <v>958</v>
      </c>
    </row>
    <row r="2" spans="1:40">
      <c r="A2" s="20" t="str">
        <f>'伤害统计(理想)'!A2</f>
        <v>万世二段</v>
      </c>
      <c r="B2" s="20">
        <f>'伤害统计(理想)'!B2</f>
        <v>1189</v>
      </c>
      <c r="C2" s="20">
        <f>'伤害统计(理想)'!C2</f>
        <v>34400</v>
      </c>
      <c r="D2" s="20">
        <f>'伤害统计(理想)'!D2</f>
        <v>45792</v>
      </c>
      <c r="E2" s="20">
        <f>'伤害统计(理想)'!E2</f>
        <v>2.4325</v>
      </c>
      <c r="F2" s="20">
        <f>'伤害统计(理想)'!F2</f>
        <v>1</v>
      </c>
      <c r="G2" s="20">
        <f>'伤害统计(理想)'!G2</f>
        <v>0.12</v>
      </c>
      <c r="H2" s="20">
        <f>'伤害统计(理想)'!H2</f>
        <v>0.1</v>
      </c>
      <c r="I2" s="20">
        <f>'伤害统计(理想)'!I2</f>
        <v>1.35</v>
      </c>
      <c r="J2" s="20">
        <f>'伤害统计(理想)'!J2</f>
        <v>0.472</v>
      </c>
      <c r="K2" s="20">
        <f>'伤害统计(理想)'!K2</f>
        <v>0.1181</v>
      </c>
      <c r="L2" s="20">
        <f>'伤害统计(理想)'!L2</f>
        <v>0.177214436704937</v>
      </c>
      <c r="M2" s="20">
        <f>'伤害统计(理想)'!M2</f>
        <v>0.3473</v>
      </c>
      <c r="N2" s="20">
        <f>'伤害统计(理想)'!N2</f>
        <v>0.2</v>
      </c>
      <c r="O2" s="20">
        <f>'伤害统计(理想)'!O2</f>
        <v>0.4994</v>
      </c>
      <c r="P2" s="20">
        <f>'伤害统计(理想)'!P2</f>
        <v>0</v>
      </c>
      <c r="Q2" s="20">
        <f>'伤害统计(理想)'!Q2</f>
        <v>0.4994</v>
      </c>
      <c r="R2" s="20">
        <f>'伤害统计(理想)'!R2</f>
        <v>0.2441</v>
      </c>
      <c r="S2" s="20">
        <f>'伤害统计(理想)'!S2</f>
        <v>0.7435</v>
      </c>
      <c r="T2" s="8">
        <f>'伤害统计(理想)'!T2+'属性收益计算&amp;备注'!Y15</f>
        <v>2.096257</v>
      </c>
      <c r="U2" s="20">
        <f>'伤害统计(理想)'!U2</f>
        <v>0</v>
      </c>
      <c r="V2" s="20">
        <f>MIN(T2+U2,3)</f>
        <v>2.096257</v>
      </c>
      <c r="W2" s="20">
        <f>'伤害统计(理想)'!W2</f>
        <v>0.2441</v>
      </c>
      <c r="X2" s="20">
        <f>MIN(V2+W2,3)</f>
        <v>2.340357</v>
      </c>
      <c r="Y2" s="20">
        <f>'伤害统计(理想)'!Y2</f>
        <v>0.2441</v>
      </c>
      <c r="Z2" s="20">
        <f>MIN(V2+Y2,3)</f>
        <v>2.340357</v>
      </c>
      <c r="AA2" s="20">
        <f>'伤害统计(理想)'!AA2</f>
        <v>0.1953</v>
      </c>
      <c r="AB2" s="20">
        <f>MIN(Z2+AA2,3)</f>
        <v>2.535657</v>
      </c>
      <c r="AC2" s="20">
        <f t="shared" ref="AC2:AC32" si="0">INT(INT(B2+D2*E2)*F2*(1+G2+H2)*(1+I2)*(1+J2)*(1-L2)*(1+M2)*(1-N2))</f>
        <v>421337</v>
      </c>
      <c r="AD2" s="20">
        <f t="shared" ref="AD2:AD32" si="1">INT((B2+(D2+C2*50%)*E2)*F2*(1+G2+H2)*(1+I2)*(1+J2)*(1-L2)*(1+M2)*(1-N2))</f>
        <v>577925</v>
      </c>
      <c r="AE2" s="20">
        <f t="shared" ref="AE2:AE32" si="2">INT((B2+(D2+C2*50%)*E2)*F2*(1+G2+H2)*(1+I2)*(1+J2+K2)*(1-L2)*(1+M2)*(1-N2))</f>
        <v>624292</v>
      </c>
      <c r="AF2" s="20">
        <f t="shared" ref="AF2:AF32" si="3">INT(AC2*V2)</f>
        <v>883230</v>
      </c>
      <c r="AG2" s="20">
        <f t="shared" ref="AG2:AG32" si="4">INT(AD2*Z2)</f>
        <v>1352550</v>
      </c>
      <c r="AH2" s="20">
        <f>INT(AE2*Z2)</f>
        <v>1461066</v>
      </c>
      <c r="AI2" s="20">
        <f t="shared" ref="AI2:AI32" si="5">INT((B2+(D2+C2*25%)*E2)*F2*(1+G2+H2)*(1+I2)*(1+J2)*(1-L2)*(1+M2)*(1-N2))</f>
        <v>499631</v>
      </c>
      <c r="AJ2" s="20">
        <f t="shared" ref="AJ2:AJ32" si="6">INT(AI2*X2)</f>
        <v>1169314</v>
      </c>
      <c r="AK2" s="20">
        <f t="shared" ref="AK2:AK32" si="7">INT((B2+(D2+C2*25%)*E2)*F2*(1+G2+H2)*(1+I2)*(1+J2+K2)*(1-L2)*(1+M2)*(1-N2))</f>
        <v>539717</v>
      </c>
      <c r="AL2" s="20">
        <f t="shared" ref="AL2:AL32" si="8">INT(AK2*X2)</f>
        <v>1263130</v>
      </c>
      <c r="AM2" s="20">
        <f t="shared" ref="AM2:AM32" si="9">INT(AD2*AB2)</f>
        <v>1465419</v>
      </c>
      <c r="AN2" s="20">
        <f t="shared" ref="AN2:AN32" si="10">INT(AE2*AB2)</f>
        <v>1582990</v>
      </c>
    </row>
    <row r="3" spans="1:40">
      <c r="A3" s="20" t="str">
        <f>'伤害统计(理想)'!A3</f>
        <v>飞剑1</v>
      </c>
      <c r="B3" s="20">
        <f>'伤害统计(理想)'!B3</f>
        <v>50</v>
      </c>
      <c r="C3" s="20">
        <f>'伤害统计(理想)'!C3</f>
        <v>34400</v>
      </c>
      <c r="D3" s="20">
        <f>'伤害统计(理想)'!D3</f>
        <v>45792</v>
      </c>
      <c r="E3" s="20">
        <f>'伤害统计(理想)'!E3</f>
        <v>0.286996875</v>
      </c>
      <c r="F3" s="20">
        <f>'伤害统计(理想)'!F3</f>
        <v>1</v>
      </c>
      <c r="G3" s="20">
        <f>'伤害统计(理想)'!G3</f>
        <v>0.12</v>
      </c>
      <c r="H3" s="20">
        <f>'伤害统计(理想)'!H3</f>
        <v>0.1</v>
      </c>
      <c r="I3" s="20">
        <f>'伤害统计(理想)'!I3</f>
        <v>1.35</v>
      </c>
      <c r="J3" s="20">
        <f>'伤害统计(理想)'!J3</f>
        <v>0.472</v>
      </c>
      <c r="K3" s="20">
        <f>'伤害统计(理想)'!K3</f>
        <v>0.1181</v>
      </c>
      <c r="L3" s="20">
        <f>'伤害统计(理想)'!L3</f>
        <v>0.177214436704937</v>
      </c>
      <c r="M3" s="20">
        <f>'伤害统计(理想)'!M3</f>
        <v>0.3473</v>
      </c>
      <c r="N3" s="20">
        <f>'伤害统计(理想)'!N3</f>
        <v>0.2</v>
      </c>
      <c r="O3" s="20">
        <f>'伤害统计(理想)'!O3</f>
        <v>0.4994</v>
      </c>
      <c r="P3" s="20">
        <f>'伤害统计(理想)'!P3</f>
        <v>0</v>
      </c>
      <c r="Q3" s="20">
        <f>'伤害统计(理想)'!Q3</f>
        <v>0.4994</v>
      </c>
      <c r="R3" s="20">
        <f>'伤害统计(理想)'!R3</f>
        <v>0.2441</v>
      </c>
      <c r="S3" s="20">
        <f>'伤害统计(理想)'!S3</f>
        <v>0.7435</v>
      </c>
      <c r="T3" s="8">
        <f>T2</f>
        <v>2.096257</v>
      </c>
      <c r="U3" s="20">
        <f>'伤害统计(理想)'!U3</f>
        <v>0</v>
      </c>
      <c r="V3" s="20">
        <f t="shared" ref="V3:V30" si="11">MIN(T3+U3,3)</f>
        <v>2.096257</v>
      </c>
      <c r="W3" s="20">
        <f>'伤害统计(理想)'!W3</f>
        <v>0.2441</v>
      </c>
      <c r="X3" s="20">
        <f t="shared" ref="X3:X30" si="12">MIN(V3+W3,3)</f>
        <v>2.340357</v>
      </c>
      <c r="Y3" s="20">
        <f>'伤害统计(理想)'!Y3</f>
        <v>0.2441</v>
      </c>
      <c r="Z3" s="20">
        <f t="shared" ref="Z3:Z30" si="13">MIN(V3+Y3,3)</f>
        <v>2.340357</v>
      </c>
      <c r="AA3" s="20">
        <f>'伤害统计(理想)'!AA3</f>
        <v>0.1953</v>
      </c>
      <c r="AB3" s="20">
        <f t="shared" ref="AB3:AB30" si="14">MIN(Z3+AA3,3)</f>
        <v>2.535657</v>
      </c>
      <c r="AC3" s="20">
        <f t="shared" si="0"/>
        <v>49372</v>
      </c>
      <c r="AD3" s="20">
        <f t="shared" si="1"/>
        <v>67848</v>
      </c>
      <c r="AE3" s="20">
        <f t="shared" si="2"/>
        <v>73291</v>
      </c>
      <c r="AF3" s="20">
        <f t="shared" si="3"/>
        <v>103496</v>
      </c>
      <c r="AG3" s="20">
        <f t="shared" si="4"/>
        <v>158788</v>
      </c>
      <c r="AH3" s="20">
        <f>INT(AE3*(T3+U3+0.4441+按提示输入属性!D64*0.1953))</f>
        <v>200499</v>
      </c>
      <c r="AI3" s="20">
        <f t="shared" si="5"/>
        <v>58610</v>
      </c>
      <c r="AJ3" s="20">
        <f t="shared" si="6"/>
        <v>137168</v>
      </c>
      <c r="AK3" s="20">
        <f t="shared" si="7"/>
        <v>63313</v>
      </c>
      <c r="AL3" s="20">
        <f t="shared" si="8"/>
        <v>148175</v>
      </c>
      <c r="AM3" s="20">
        <f t="shared" si="9"/>
        <v>172039</v>
      </c>
      <c r="AN3" s="20">
        <f t="shared" si="10"/>
        <v>185840</v>
      </c>
    </row>
    <row r="4" spans="1:40">
      <c r="A4" s="20" t="str">
        <f>'伤害统计(理想)'!A4</f>
        <v>飞剑2</v>
      </c>
      <c r="B4" s="20">
        <f>'伤害统计(理想)'!B4</f>
        <v>50</v>
      </c>
      <c r="C4" s="20">
        <f>'伤害统计(理想)'!C4</f>
        <v>34400</v>
      </c>
      <c r="D4" s="20">
        <f>'伤害统计(理想)'!D4</f>
        <v>45792</v>
      </c>
      <c r="E4" s="20">
        <f>'伤害统计(理想)'!E4</f>
        <v>0.286996875</v>
      </c>
      <c r="F4" s="20">
        <f>'伤害统计(理想)'!F4</f>
        <v>1</v>
      </c>
      <c r="G4" s="20">
        <f>'伤害统计(理想)'!G4</f>
        <v>0.12</v>
      </c>
      <c r="H4" s="20">
        <f>'伤害统计(理想)'!H4</f>
        <v>0.25</v>
      </c>
      <c r="I4" s="20">
        <f>'伤害统计(理想)'!I4</f>
        <v>1.35</v>
      </c>
      <c r="J4" s="20">
        <f>'伤害统计(理想)'!J4</f>
        <v>0.472</v>
      </c>
      <c r="K4" s="20">
        <f>'伤害统计(理想)'!K4</f>
        <v>0.1181</v>
      </c>
      <c r="L4" s="20">
        <f>'伤害统计(理想)'!L4</f>
        <v>0.177214436704937</v>
      </c>
      <c r="M4" s="20">
        <f>'伤害统计(理想)'!M4</f>
        <v>0.3473</v>
      </c>
      <c r="N4" s="20">
        <f>'伤害统计(理想)'!N4</f>
        <v>0.2</v>
      </c>
      <c r="O4" s="20">
        <f>'伤害统计(理想)'!O4</f>
        <v>0.4994</v>
      </c>
      <c r="P4" s="20">
        <f>'伤害统计(理想)'!P4</f>
        <v>0</v>
      </c>
      <c r="Q4" s="20">
        <f>'伤害统计(理想)'!Q4</f>
        <v>0.4994</v>
      </c>
      <c r="R4" s="20">
        <f>'伤害统计(理想)'!R4</f>
        <v>0.2441</v>
      </c>
      <c r="S4" s="20">
        <f>'伤害统计(理想)'!S4</f>
        <v>0.7435</v>
      </c>
      <c r="T4" s="8">
        <f>T2</f>
        <v>2.096257</v>
      </c>
      <c r="U4" s="20">
        <f>'伤害统计(理想)'!U4</f>
        <v>0</v>
      </c>
      <c r="V4" s="20">
        <f t="shared" si="11"/>
        <v>2.096257</v>
      </c>
      <c r="W4" s="20">
        <f>'伤害统计(理想)'!W4</f>
        <v>0.2441</v>
      </c>
      <c r="X4" s="20">
        <f t="shared" si="12"/>
        <v>2.340357</v>
      </c>
      <c r="Y4" s="20">
        <f>'伤害统计(理想)'!Y4</f>
        <v>0.2441</v>
      </c>
      <c r="Z4" s="20">
        <f t="shared" si="13"/>
        <v>2.340357</v>
      </c>
      <c r="AA4" s="20">
        <f>'伤害统计(理想)'!AA4</f>
        <v>0.1953</v>
      </c>
      <c r="AB4" s="20">
        <f t="shared" si="14"/>
        <v>2.535657</v>
      </c>
      <c r="AC4" s="20">
        <f t="shared" si="0"/>
        <v>55443</v>
      </c>
      <c r="AD4" s="20">
        <f t="shared" si="1"/>
        <v>76190</v>
      </c>
      <c r="AE4" s="20">
        <f t="shared" si="2"/>
        <v>82303</v>
      </c>
      <c r="AF4" s="20">
        <f t="shared" si="3"/>
        <v>116222</v>
      </c>
      <c r="AG4" s="20">
        <f t="shared" si="4"/>
        <v>178311</v>
      </c>
      <c r="AH4" s="20">
        <f>INT(AE4*(T4+U4+0.4441+按提示输入属性!D64*0.1953))</f>
        <v>225152</v>
      </c>
      <c r="AI4" s="20">
        <f t="shared" si="5"/>
        <v>65817</v>
      </c>
      <c r="AJ4" s="20">
        <f t="shared" si="6"/>
        <v>154035</v>
      </c>
      <c r="AK4" s="20">
        <f t="shared" si="7"/>
        <v>71097</v>
      </c>
      <c r="AL4" s="20">
        <f t="shared" si="8"/>
        <v>166392</v>
      </c>
      <c r="AM4" s="20">
        <f t="shared" si="9"/>
        <v>193191</v>
      </c>
      <c r="AN4" s="20">
        <f t="shared" si="10"/>
        <v>208692</v>
      </c>
    </row>
    <row r="5" spans="1:40">
      <c r="A5" s="20" t="str">
        <f>'伤害统计(理想)'!A5</f>
        <v>飞剑3</v>
      </c>
      <c r="B5" s="20">
        <f>'伤害统计(理想)'!B5</f>
        <v>50</v>
      </c>
      <c r="C5" s="20">
        <f>'伤害统计(理想)'!C5</f>
        <v>34400</v>
      </c>
      <c r="D5" s="20">
        <f>'伤害统计(理想)'!D5</f>
        <v>45792</v>
      </c>
      <c r="E5" s="20">
        <f>'伤害统计(理想)'!E5</f>
        <v>0.286996875</v>
      </c>
      <c r="F5" s="20">
        <f>'伤害统计(理想)'!F5</f>
        <v>1</v>
      </c>
      <c r="G5" s="20">
        <f>'伤害统计(理想)'!G5</f>
        <v>0.12</v>
      </c>
      <c r="H5" s="20">
        <f>'伤害统计(理想)'!H5</f>
        <v>0.4</v>
      </c>
      <c r="I5" s="20">
        <f>'伤害统计(理想)'!I5</f>
        <v>1.35</v>
      </c>
      <c r="J5" s="20">
        <f>'伤害统计(理想)'!J5</f>
        <v>0.472</v>
      </c>
      <c r="K5" s="20">
        <f>'伤害统计(理想)'!K5</f>
        <v>0.1181</v>
      </c>
      <c r="L5" s="20">
        <f>'伤害统计(理想)'!L5</f>
        <v>0.177214436704937</v>
      </c>
      <c r="M5" s="20">
        <f>'伤害统计(理想)'!M5</f>
        <v>0.3473</v>
      </c>
      <c r="N5" s="20">
        <f>'伤害统计(理想)'!N5</f>
        <v>0.2</v>
      </c>
      <c r="O5" s="20">
        <f>'伤害统计(理想)'!O5</f>
        <v>0.4994</v>
      </c>
      <c r="P5" s="20">
        <f>'伤害统计(理想)'!P5</f>
        <v>0</v>
      </c>
      <c r="Q5" s="20">
        <f>'伤害统计(理想)'!Q5</f>
        <v>0.4994</v>
      </c>
      <c r="R5" s="20">
        <f>'伤害统计(理想)'!R5</f>
        <v>0.2441</v>
      </c>
      <c r="S5" s="20">
        <f>'伤害统计(理想)'!S5</f>
        <v>0.7435</v>
      </c>
      <c r="T5" s="8">
        <f>T2</f>
        <v>2.096257</v>
      </c>
      <c r="U5" s="20">
        <f>'伤害统计(理想)'!U5</f>
        <v>0</v>
      </c>
      <c r="V5" s="20">
        <f t="shared" si="11"/>
        <v>2.096257</v>
      </c>
      <c r="W5" s="20">
        <f>'伤害统计(理想)'!W5</f>
        <v>0.2441</v>
      </c>
      <c r="X5" s="20">
        <f t="shared" si="12"/>
        <v>2.340357</v>
      </c>
      <c r="Y5" s="20">
        <f>'伤害统计(理想)'!Y5</f>
        <v>0.2441</v>
      </c>
      <c r="Z5" s="20">
        <f t="shared" si="13"/>
        <v>2.340357</v>
      </c>
      <c r="AA5" s="20">
        <f>'伤害统计(理想)'!AA5</f>
        <v>0.1953</v>
      </c>
      <c r="AB5" s="20">
        <f t="shared" si="14"/>
        <v>2.535657</v>
      </c>
      <c r="AC5" s="20">
        <f t="shared" si="0"/>
        <v>61513</v>
      </c>
      <c r="AD5" s="20">
        <f t="shared" si="1"/>
        <v>84532</v>
      </c>
      <c r="AE5" s="20">
        <f t="shared" si="2"/>
        <v>91314</v>
      </c>
      <c r="AF5" s="20">
        <f t="shared" si="3"/>
        <v>128947</v>
      </c>
      <c r="AG5" s="20">
        <f t="shared" si="4"/>
        <v>197835</v>
      </c>
      <c r="AH5" s="20">
        <f>INT(AE5*(T5+U5+0.4441+按提示输入属性!D64*0.1953))</f>
        <v>249803</v>
      </c>
      <c r="AI5" s="20">
        <f t="shared" si="5"/>
        <v>73023</v>
      </c>
      <c r="AJ5" s="20">
        <f t="shared" si="6"/>
        <v>170899</v>
      </c>
      <c r="AK5" s="20">
        <f t="shared" si="7"/>
        <v>78881</v>
      </c>
      <c r="AL5" s="20">
        <f t="shared" si="8"/>
        <v>184609</v>
      </c>
      <c r="AM5" s="20">
        <f t="shared" si="9"/>
        <v>214344</v>
      </c>
      <c r="AN5" s="20">
        <f t="shared" si="10"/>
        <v>231540</v>
      </c>
    </row>
    <row r="6" spans="1:40">
      <c r="A6" s="20" t="str">
        <f>'伤害统计(理想)'!A6</f>
        <v>飞剑4</v>
      </c>
      <c r="B6" s="20">
        <f>'伤害统计(理想)'!B6</f>
        <v>50</v>
      </c>
      <c r="C6" s="20">
        <f>'伤害统计(理想)'!C6</f>
        <v>34400</v>
      </c>
      <c r="D6" s="20">
        <f>'伤害统计(理想)'!D6</f>
        <v>45792</v>
      </c>
      <c r="E6" s="20">
        <f>'伤害统计(理想)'!E6</f>
        <v>0.286996875</v>
      </c>
      <c r="F6" s="20">
        <f>'伤害统计(理想)'!F6</f>
        <v>1</v>
      </c>
      <c r="G6" s="20">
        <f>'伤害统计(理想)'!G6</f>
        <v>0.12</v>
      </c>
      <c r="H6" s="20">
        <f>'伤害统计(理想)'!H6</f>
        <v>0.55</v>
      </c>
      <c r="I6" s="20">
        <f>'伤害统计(理想)'!I6</f>
        <v>1.35</v>
      </c>
      <c r="J6" s="20">
        <f>'伤害统计(理想)'!J6</f>
        <v>0.472</v>
      </c>
      <c r="K6" s="20">
        <f>'伤害统计(理想)'!K6</f>
        <v>0.1181</v>
      </c>
      <c r="L6" s="20">
        <f>'伤害统计(理想)'!L6</f>
        <v>0.177214436704937</v>
      </c>
      <c r="M6" s="20">
        <f>'伤害统计(理想)'!M6</f>
        <v>0.3473</v>
      </c>
      <c r="N6" s="20">
        <f>'伤害统计(理想)'!N6</f>
        <v>0.2</v>
      </c>
      <c r="O6" s="20">
        <f>'伤害统计(理想)'!O6</f>
        <v>0.4994</v>
      </c>
      <c r="P6" s="20">
        <f>'伤害统计(理想)'!P6</f>
        <v>0</v>
      </c>
      <c r="Q6" s="20">
        <f>'伤害统计(理想)'!Q6</f>
        <v>0.4994</v>
      </c>
      <c r="R6" s="20">
        <f>'伤害统计(理想)'!R6</f>
        <v>0.2441</v>
      </c>
      <c r="S6" s="20">
        <f>'伤害统计(理想)'!S6</f>
        <v>0.7435</v>
      </c>
      <c r="T6" s="8">
        <f>T2</f>
        <v>2.096257</v>
      </c>
      <c r="U6" s="20">
        <f>'伤害统计(理想)'!U6</f>
        <v>0</v>
      </c>
      <c r="V6" s="20">
        <f t="shared" si="11"/>
        <v>2.096257</v>
      </c>
      <c r="W6" s="20">
        <f>'伤害统计(理想)'!W6</f>
        <v>0.2441</v>
      </c>
      <c r="X6" s="20">
        <f t="shared" si="12"/>
        <v>2.340357</v>
      </c>
      <c r="Y6" s="20">
        <f>'伤害统计(理想)'!Y6</f>
        <v>0.2441</v>
      </c>
      <c r="Z6" s="20">
        <f t="shared" si="13"/>
        <v>2.340357</v>
      </c>
      <c r="AA6" s="20">
        <f>'伤害统计(理想)'!AA6</f>
        <v>0.1953</v>
      </c>
      <c r="AB6" s="20">
        <f t="shared" si="14"/>
        <v>2.535657</v>
      </c>
      <c r="AC6" s="20">
        <f t="shared" si="0"/>
        <v>67583</v>
      </c>
      <c r="AD6" s="20">
        <f t="shared" si="1"/>
        <v>92874</v>
      </c>
      <c r="AE6" s="20">
        <f t="shared" si="2"/>
        <v>100325</v>
      </c>
      <c r="AF6" s="20">
        <f t="shared" si="3"/>
        <v>141671</v>
      </c>
      <c r="AG6" s="20">
        <f t="shared" si="4"/>
        <v>217358</v>
      </c>
      <c r="AH6" s="20">
        <f>INT(AE6*(T6+U6+0.4441+按提示输入属性!D64*0.1953))</f>
        <v>274454</v>
      </c>
      <c r="AI6" s="20">
        <f t="shared" si="5"/>
        <v>80229</v>
      </c>
      <c r="AJ6" s="20">
        <f t="shared" si="6"/>
        <v>187764</v>
      </c>
      <c r="AK6" s="20">
        <f t="shared" si="7"/>
        <v>86666</v>
      </c>
      <c r="AL6" s="20">
        <f t="shared" si="8"/>
        <v>202829</v>
      </c>
      <c r="AM6" s="20">
        <f t="shared" si="9"/>
        <v>235496</v>
      </c>
      <c r="AN6" s="20">
        <f t="shared" si="10"/>
        <v>254389</v>
      </c>
    </row>
    <row r="7" spans="1:40">
      <c r="A7" s="20" t="str">
        <f>'伤害统计(理想)'!A7</f>
        <v>飞剑5</v>
      </c>
      <c r="B7" s="20">
        <f>'伤害统计(理想)'!B7</f>
        <v>50</v>
      </c>
      <c r="C7" s="20">
        <f>'伤害统计(理想)'!C7</f>
        <v>34400</v>
      </c>
      <c r="D7" s="20">
        <f>'伤害统计(理想)'!D7</f>
        <v>45792</v>
      </c>
      <c r="E7" s="20">
        <f>'伤害统计(理想)'!E7</f>
        <v>0.286996875</v>
      </c>
      <c r="F7" s="20">
        <f>'伤害统计(理想)'!F7</f>
        <v>1</v>
      </c>
      <c r="G7" s="20">
        <f>'伤害统计(理想)'!G7</f>
        <v>0.12</v>
      </c>
      <c r="H7" s="20">
        <f>'伤害统计(理想)'!H7</f>
        <v>0.7</v>
      </c>
      <c r="I7" s="20">
        <f>'伤害统计(理想)'!I7</f>
        <v>1.35</v>
      </c>
      <c r="J7" s="20">
        <f>'伤害统计(理想)'!J7</f>
        <v>0.472</v>
      </c>
      <c r="K7" s="20">
        <f>'伤害统计(理想)'!K7</f>
        <v>0.1181</v>
      </c>
      <c r="L7" s="20">
        <f>'伤害统计(理想)'!L7</f>
        <v>0.177214436704937</v>
      </c>
      <c r="M7" s="20">
        <f>'伤害统计(理想)'!M7</f>
        <v>0.3473</v>
      </c>
      <c r="N7" s="20">
        <f>'伤害统计(理想)'!N7</f>
        <v>0.2</v>
      </c>
      <c r="O7" s="20">
        <f>'伤害统计(理想)'!O7</f>
        <v>0.4994</v>
      </c>
      <c r="P7" s="20">
        <f>'伤害统计(理想)'!P7</f>
        <v>0</v>
      </c>
      <c r="Q7" s="20">
        <f>'伤害统计(理想)'!Q7</f>
        <v>0.4994</v>
      </c>
      <c r="R7" s="20">
        <f>'伤害统计(理想)'!R7</f>
        <v>0.2441</v>
      </c>
      <c r="S7" s="20">
        <f>'伤害统计(理想)'!S7</f>
        <v>0.7435</v>
      </c>
      <c r="T7" s="8">
        <f>T2</f>
        <v>2.096257</v>
      </c>
      <c r="U7" s="20">
        <f>'伤害统计(理想)'!U7</f>
        <v>0</v>
      </c>
      <c r="V7" s="20">
        <f t="shared" si="11"/>
        <v>2.096257</v>
      </c>
      <c r="W7" s="20">
        <f>'伤害统计(理想)'!W7</f>
        <v>0.2441</v>
      </c>
      <c r="X7" s="20">
        <f t="shared" si="12"/>
        <v>2.340357</v>
      </c>
      <c r="Y7" s="20">
        <f>'伤害统计(理想)'!Y7</f>
        <v>0.2441</v>
      </c>
      <c r="Z7" s="20">
        <f t="shared" si="13"/>
        <v>2.340357</v>
      </c>
      <c r="AA7" s="20">
        <f>'伤害统计(理想)'!AA7</f>
        <v>0.1953</v>
      </c>
      <c r="AB7" s="20">
        <f t="shared" si="14"/>
        <v>2.535657</v>
      </c>
      <c r="AC7" s="20">
        <f t="shared" si="0"/>
        <v>73654</v>
      </c>
      <c r="AD7" s="20">
        <f t="shared" si="1"/>
        <v>101216</v>
      </c>
      <c r="AE7" s="20">
        <f t="shared" si="2"/>
        <v>109336</v>
      </c>
      <c r="AF7" s="20">
        <f t="shared" si="3"/>
        <v>154397</v>
      </c>
      <c r="AG7" s="20">
        <f t="shared" si="4"/>
        <v>236881</v>
      </c>
      <c r="AH7" s="20">
        <f>INT(AE7*(T7+U7+0.4441+按提示输入属性!D64*0.1953))</f>
        <v>299105</v>
      </c>
      <c r="AI7" s="20">
        <f t="shared" si="5"/>
        <v>87435</v>
      </c>
      <c r="AJ7" s="20">
        <f t="shared" si="6"/>
        <v>204629</v>
      </c>
      <c r="AK7" s="20">
        <f t="shared" si="7"/>
        <v>94450</v>
      </c>
      <c r="AL7" s="20">
        <f t="shared" si="8"/>
        <v>221046</v>
      </c>
      <c r="AM7" s="20">
        <f t="shared" si="9"/>
        <v>256649</v>
      </c>
      <c r="AN7" s="20">
        <f t="shared" si="10"/>
        <v>277238</v>
      </c>
    </row>
    <row r="8" s="20" customFormat="1" spans="1:40">
      <c r="A8" s="20" t="str">
        <f>'伤害统计(理想)'!A8</f>
        <v>颠越苍穹击</v>
      </c>
      <c r="B8" s="20">
        <f>'伤害统计(理想)'!B8</f>
        <v>1090</v>
      </c>
      <c r="C8" s="20">
        <f>'伤害统计(理想)'!C8</f>
        <v>34400</v>
      </c>
      <c r="D8" s="20">
        <f>'伤害统计(理想)'!D8</f>
        <v>45792</v>
      </c>
      <c r="E8" s="20">
        <f>'伤害统计(理想)'!E8</f>
        <v>0.7239</v>
      </c>
      <c r="F8" s="20">
        <f>'伤害统计(理想)'!F8</f>
        <v>1</v>
      </c>
      <c r="G8" s="20">
        <f>'伤害统计(理想)'!G8</f>
        <v>0</v>
      </c>
      <c r="H8" s="20">
        <f>'伤害统计(理想)'!H8</f>
        <v>0</v>
      </c>
      <c r="I8" s="20">
        <f>'伤害统计(理想)'!I8</f>
        <v>0.05</v>
      </c>
      <c r="J8" s="20">
        <f>'伤害统计(理想)'!J8</f>
        <v>0.472</v>
      </c>
      <c r="K8" s="20">
        <f>'伤害统计(理想)'!K8</f>
        <v>0.1181</v>
      </c>
      <c r="L8" s="20">
        <f>'伤害统计(理想)'!L8</f>
        <v>0.177214436704937</v>
      </c>
      <c r="M8" s="20">
        <f>'伤害统计(理想)'!M8</f>
        <v>0.3473</v>
      </c>
      <c r="N8" s="20">
        <f>'伤害统计(理想)'!N8</f>
        <v>0.2</v>
      </c>
      <c r="O8" s="20">
        <f>'伤害统计(理想)'!O8</f>
        <v>0.4994</v>
      </c>
      <c r="P8" s="20">
        <f>'伤害统计(理想)'!P8</f>
        <v>0</v>
      </c>
      <c r="Q8" s="20">
        <f>'伤害统计(理想)'!Q8</f>
        <v>0.4994</v>
      </c>
      <c r="R8" s="20">
        <f>'伤害统计(理想)'!R8</f>
        <v>0.2441</v>
      </c>
      <c r="S8" s="20">
        <f>'伤害统计(理想)'!S8</f>
        <v>0.7435</v>
      </c>
      <c r="T8" s="8">
        <f>T2</f>
        <v>2.096257</v>
      </c>
      <c r="U8" s="20">
        <f>'伤害统计(理想)'!U8</f>
        <v>0</v>
      </c>
      <c r="V8" s="20">
        <f t="shared" si="11"/>
        <v>2.096257</v>
      </c>
      <c r="W8" s="20">
        <f>'伤害统计(理想)'!W8</f>
        <v>0.2441</v>
      </c>
      <c r="X8" s="20">
        <f t="shared" si="12"/>
        <v>2.340357</v>
      </c>
      <c r="Y8" s="20">
        <f>'伤害统计(理想)'!Y8</f>
        <v>0.2441</v>
      </c>
      <c r="Z8" s="20">
        <f t="shared" si="13"/>
        <v>2.340357</v>
      </c>
      <c r="AA8" s="20">
        <f>'伤害统计(理想)'!AA8</f>
        <v>0.1953</v>
      </c>
      <c r="AB8" s="20">
        <f t="shared" si="14"/>
        <v>2.535657</v>
      </c>
      <c r="AC8" s="20">
        <f t="shared" si="0"/>
        <v>46929</v>
      </c>
      <c r="AD8" s="20">
        <f t="shared" si="1"/>
        <v>63997</v>
      </c>
      <c r="AE8" s="20">
        <f t="shared" si="2"/>
        <v>69131</v>
      </c>
      <c r="AF8" s="20">
        <f t="shared" si="3"/>
        <v>98375</v>
      </c>
      <c r="AG8" s="20">
        <f t="shared" si="4"/>
        <v>149775</v>
      </c>
      <c r="AH8" s="20">
        <f t="shared" ref="AH8:AH14" si="15">INT(AE8*(T8+U8+0.4441))</f>
        <v>175617</v>
      </c>
      <c r="AI8" s="20">
        <f t="shared" si="5"/>
        <v>55463</v>
      </c>
      <c r="AJ8" s="20">
        <f t="shared" si="6"/>
        <v>129803</v>
      </c>
      <c r="AK8" s="20">
        <f t="shared" si="7"/>
        <v>59913</v>
      </c>
      <c r="AL8" s="20">
        <f t="shared" si="8"/>
        <v>140217</v>
      </c>
      <c r="AM8" s="20">
        <f t="shared" si="9"/>
        <v>162274</v>
      </c>
      <c r="AN8" s="20">
        <f t="shared" si="10"/>
        <v>175292</v>
      </c>
    </row>
    <row r="9" s="20" customFormat="1" spans="1:40">
      <c r="A9" s="20" t="str">
        <f>'伤害统计(理想)'!A9</f>
        <v>五方行尽</v>
      </c>
      <c r="B9" s="20">
        <f>'伤害统计(理想)'!B9</f>
        <v>51</v>
      </c>
      <c r="C9" s="20">
        <f>'伤害统计(理想)'!C9</f>
        <v>34400</v>
      </c>
      <c r="D9" s="20">
        <f>'伤害统计(理想)'!D9</f>
        <v>45792</v>
      </c>
      <c r="E9" s="20">
        <f>'伤害统计(理想)'!E9</f>
        <v>0.5453</v>
      </c>
      <c r="F9" s="20">
        <f>'伤害统计(理想)'!F9</f>
        <v>1</v>
      </c>
      <c r="G9" s="20">
        <f>'伤害统计(理想)'!G9</f>
        <v>0</v>
      </c>
      <c r="H9" s="20">
        <f>'伤害统计(理想)'!H9</f>
        <v>0</v>
      </c>
      <c r="I9" s="20">
        <f>'伤害统计(理想)'!I9</f>
        <v>0.05</v>
      </c>
      <c r="J9" s="20">
        <f>'伤害统计(理想)'!J9</f>
        <v>0.472</v>
      </c>
      <c r="K9" s="20">
        <f>'伤害统计(理想)'!K9</f>
        <v>0.1181</v>
      </c>
      <c r="L9" s="20">
        <f>'伤害统计(理想)'!L9</f>
        <v>0.177214436704937</v>
      </c>
      <c r="M9" s="20">
        <f>'伤害统计(理想)'!M9</f>
        <v>0.3473</v>
      </c>
      <c r="N9" s="20">
        <f>'伤害统计(理想)'!N9</f>
        <v>0.2</v>
      </c>
      <c r="O9" s="20">
        <f>'伤害统计(理想)'!O9</f>
        <v>0.4994</v>
      </c>
      <c r="P9" s="20">
        <f>'伤害统计(理想)'!P9</f>
        <v>0</v>
      </c>
      <c r="Q9" s="20">
        <f>'伤害统计(理想)'!Q9</f>
        <v>0.4994</v>
      </c>
      <c r="R9" s="20">
        <f>'伤害统计(理想)'!R9</f>
        <v>0.2441</v>
      </c>
      <c r="S9" s="20">
        <f>'伤害统计(理想)'!S9</f>
        <v>0.7435</v>
      </c>
      <c r="T9" s="8">
        <f>T2</f>
        <v>2.096257</v>
      </c>
      <c r="U9" s="20">
        <f>'伤害统计(理想)'!U9</f>
        <v>0</v>
      </c>
      <c r="V9" s="20">
        <f t="shared" si="11"/>
        <v>2.096257</v>
      </c>
      <c r="W9" s="20">
        <f>'伤害统计(理想)'!W9</f>
        <v>0.2441</v>
      </c>
      <c r="X9" s="20">
        <f t="shared" si="12"/>
        <v>2.340357</v>
      </c>
      <c r="Y9" s="20">
        <f>'伤害统计(理想)'!Y9</f>
        <v>0.2441</v>
      </c>
      <c r="Z9" s="20">
        <f t="shared" si="13"/>
        <v>2.340357</v>
      </c>
      <c r="AA9" s="20">
        <f>'伤害统计(理想)'!AA9</f>
        <v>0.1953</v>
      </c>
      <c r="AB9" s="20">
        <f t="shared" si="14"/>
        <v>2.535657</v>
      </c>
      <c r="AC9" s="20">
        <f t="shared" si="0"/>
        <v>34295</v>
      </c>
      <c r="AD9" s="20">
        <f t="shared" si="1"/>
        <v>47152</v>
      </c>
      <c r="AE9" s="20">
        <f t="shared" si="2"/>
        <v>50935</v>
      </c>
      <c r="AF9" s="20">
        <f t="shared" si="3"/>
        <v>71891</v>
      </c>
      <c r="AG9" s="20">
        <f t="shared" si="4"/>
        <v>110352</v>
      </c>
      <c r="AH9" s="20">
        <f t="shared" si="15"/>
        <v>129393</v>
      </c>
      <c r="AI9" s="20">
        <f t="shared" si="5"/>
        <v>40724</v>
      </c>
      <c r="AJ9" s="20">
        <f t="shared" si="6"/>
        <v>95308</v>
      </c>
      <c r="AK9" s="20">
        <f t="shared" si="7"/>
        <v>43991</v>
      </c>
      <c r="AL9" s="20">
        <f t="shared" si="8"/>
        <v>102954</v>
      </c>
      <c r="AM9" s="20">
        <f t="shared" si="9"/>
        <v>119561</v>
      </c>
      <c r="AN9" s="20">
        <f t="shared" si="10"/>
        <v>129153</v>
      </c>
    </row>
    <row r="10" spans="1:40">
      <c r="A10" s="20" t="str">
        <f>'伤害统计(理想)'!A10</f>
        <v>四象轮回</v>
      </c>
      <c r="B10" s="20">
        <f>'伤害统计(理想)'!B10</f>
        <v>1000</v>
      </c>
      <c r="C10" s="20">
        <f>'伤害统计(理想)'!C10</f>
        <v>34400</v>
      </c>
      <c r="D10" s="20">
        <f>'伤害统计(理想)'!D10</f>
        <v>45792</v>
      </c>
      <c r="E10" s="20">
        <f>'伤害统计(理想)'!E10</f>
        <v>2.29640625</v>
      </c>
      <c r="F10" s="20">
        <f>'伤害统计(理想)'!F10</f>
        <v>1</v>
      </c>
      <c r="G10" s="20">
        <f>'伤害统计(理想)'!G10</f>
        <v>0</v>
      </c>
      <c r="H10" s="20">
        <f>'伤害统计(理想)'!H10</f>
        <v>0.2</v>
      </c>
      <c r="I10" s="20">
        <f>'伤害统计(理想)'!I10</f>
        <v>0.05</v>
      </c>
      <c r="J10" s="20">
        <f>'伤害统计(理想)'!J10</f>
        <v>0.472</v>
      </c>
      <c r="K10" s="20">
        <f>'伤害统计(理想)'!K10</f>
        <v>0.1181</v>
      </c>
      <c r="L10" s="20">
        <f>'伤害统计(理想)'!L10</f>
        <v>0.177214436704937</v>
      </c>
      <c r="M10" s="20">
        <f>'伤害统计(理想)'!M10</f>
        <v>0.3473</v>
      </c>
      <c r="N10" s="20">
        <f>'伤害统计(理想)'!N10</f>
        <v>0.2</v>
      </c>
      <c r="O10" s="20">
        <f>'伤害统计(理想)'!O10</f>
        <v>0.4994</v>
      </c>
      <c r="P10" s="20">
        <f>'伤害统计(理想)'!P10</f>
        <v>0.17</v>
      </c>
      <c r="Q10" s="20">
        <f>'伤害统计(理想)'!Q10</f>
        <v>0.6694</v>
      </c>
      <c r="R10" s="20">
        <f>'伤害统计(理想)'!R10</f>
        <v>0.2441</v>
      </c>
      <c r="S10" s="20">
        <f>'伤害统计(理想)'!S10</f>
        <v>0.9135</v>
      </c>
      <c r="T10" s="8">
        <f>T2</f>
        <v>2.096257</v>
      </c>
      <c r="U10" s="20">
        <f>'伤害统计(理想)'!U10</f>
        <v>0.1</v>
      </c>
      <c r="V10" s="20">
        <f t="shared" si="11"/>
        <v>2.196257</v>
      </c>
      <c r="W10" s="20">
        <f>'伤害统计(理想)'!W10</f>
        <v>0.2441</v>
      </c>
      <c r="X10" s="20">
        <f t="shared" si="12"/>
        <v>2.440357</v>
      </c>
      <c r="Y10" s="20">
        <f>'伤害统计(理想)'!Y10</f>
        <v>0.2441</v>
      </c>
      <c r="Z10" s="20">
        <f t="shared" si="13"/>
        <v>2.440357</v>
      </c>
      <c r="AA10" s="20">
        <f>'伤害统计(理想)'!AA10</f>
        <v>0.1953</v>
      </c>
      <c r="AB10" s="20">
        <f t="shared" si="14"/>
        <v>2.635657</v>
      </c>
      <c r="AC10" s="20">
        <f t="shared" si="0"/>
        <v>174609</v>
      </c>
      <c r="AD10" s="20">
        <f t="shared" si="1"/>
        <v>239577</v>
      </c>
      <c r="AE10" s="20">
        <f t="shared" si="2"/>
        <v>258798</v>
      </c>
      <c r="AF10" s="20">
        <f t="shared" si="3"/>
        <v>383486</v>
      </c>
      <c r="AG10" s="20">
        <f t="shared" si="4"/>
        <v>584653</v>
      </c>
      <c r="AH10" s="20">
        <f t="shared" si="15"/>
        <v>683319</v>
      </c>
      <c r="AI10" s="20">
        <f t="shared" si="5"/>
        <v>207093</v>
      </c>
      <c r="AJ10" s="20">
        <f t="shared" si="6"/>
        <v>505380</v>
      </c>
      <c r="AK10" s="20">
        <f t="shared" si="7"/>
        <v>223708</v>
      </c>
      <c r="AL10" s="20">
        <f t="shared" si="8"/>
        <v>545927</v>
      </c>
      <c r="AM10" s="20">
        <f t="shared" si="9"/>
        <v>631442</v>
      </c>
      <c r="AN10" s="20">
        <f t="shared" si="10"/>
        <v>682102</v>
      </c>
    </row>
    <row r="11" spans="1:40">
      <c r="A11" s="20" t="str">
        <f>'伤害统计(理想)'!A11</f>
        <v>两仪化形</v>
      </c>
      <c r="B11" s="20">
        <f>'伤害统计(理想)'!B11</f>
        <v>2739</v>
      </c>
      <c r="C11" s="20">
        <f>'伤害统计(理想)'!C11</f>
        <v>34400</v>
      </c>
      <c r="D11" s="20">
        <f>'伤害统计(理想)'!D11</f>
        <v>45792</v>
      </c>
      <c r="E11" s="20">
        <f>'伤害统计(理想)'!E11</f>
        <v>2.000625</v>
      </c>
      <c r="F11" s="20">
        <f>'伤害统计(理想)'!F11</f>
        <v>1</v>
      </c>
      <c r="G11" s="20">
        <f>'伤害统计(理想)'!G11</f>
        <v>0.09</v>
      </c>
      <c r="H11" s="20">
        <f>'伤害统计(理想)'!H11</f>
        <v>0.2</v>
      </c>
      <c r="I11" s="20">
        <f>'伤害统计(理想)'!I11</f>
        <v>0.05</v>
      </c>
      <c r="J11" s="20">
        <f>'伤害统计(理想)'!J11</f>
        <v>0.472</v>
      </c>
      <c r="K11" s="20">
        <f>'伤害统计(理想)'!K11</f>
        <v>0.1181</v>
      </c>
      <c r="L11" s="20">
        <f>'伤害统计(理想)'!L11</f>
        <v>0.177214436704937</v>
      </c>
      <c r="M11" s="20">
        <f>'伤害统计(理想)'!M11</f>
        <v>0.3473</v>
      </c>
      <c r="N11" s="20">
        <f>'伤害统计(理想)'!N11</f>
        <v>0.2</v>
      </c>
      <c r="O11" s="20">
        <f>'伤害统计(理想)'!O11</f>
        <v>0.4994</v>
      </c>
      <c r="P11" s="20">
        <f>'伤害统计(理想)'!P11</f>
        <v>0.04</v>
      </c>
      <c r="Q11" s="20">
        <f>'伤害统计(理想)'!Q11</f>
        <v>0.5394</v>
      </c>
      <c r="R11" s="20">
        <f>'伤害统计(理想)'!R11</f>
        <v>0.2441</v>
      </c>
      <c r="S11" s="20">
        <f>'伤害统计(理想)'!S11</f>
        <v>0.7835</v>
      </c>
      <c r="T11" s="8">
        <f>T2</f>
        <v>2.096257</v>
      </c>
      <c r="U11" s="20">
        <f>'伤害统计(理想)'!U11</f>
        <v>0</v>
      </c>
      <c r="V11" s="20">
        <f t="shared" si="11"/>
        <v>2.096257</v>
      </c>
      <c r="W11" s="20">
        <f>'伤害统计(理想)'!W11</f>
        <v>0.2441</v>
      </c>
      <c r="X11" s="20">
        <f t="shared" si="12"/>
        <v>2.340357</v>
      </c>
      <c r="Y11" s="20">
        <f>'伤害统计(理想)'!Y11</f>
        <v>0.2441</v>
      </c>
      <c r="Z11" s="20">
        <f t="shared" si="13"/>
        <v>2.340357</v>
      </c>
      <c r="AA11" s="20">
        <f>'伤害统计(理想)'!AA11</f>
        <v>0.1953</v>
      </c>
      <c r="AB11" s="20">
        <f t="shared" si="14"/>
        <v>2.535657</v>
      </c>
      <c r="AC11" s="20">
        <f t="shared" si="0"/>
        <v>166830</v>
      </c>
      <c r="AD11" s="20">
        <f t="shared" si="1"/>
        <v>227675</v>
      </c>
      <c r="AE11" s="20">
        <f t="shared" si="2"/>
        <v>245942</v>
      </c>
      <c r="AF11" s="20">
        <f t="shared" si="3"/>
        <v>349718</v>
      </c>
      <c r="AG11" s="20">
        <f t="shared" si="4"/>
        <v>532840</v>
      </c>
      <c r="AH11" s="20">
        <f t="shared" si="15"/>
        <v>624780</v>
      </c>
      <c r="AI11" s="20">
        <f t="shared" si="5"/>
        <v>197253</v>
      </c>
      <c r="AJ11" s="20">
        <f t="shared" si="6"/>
        <v>461642</v>
      </c>
      <c r="AK11" s="20">
        <f t="shared" si="7"/>
        <v>213079</v>
      </c>
      <c r="AL11" s="20">
        <f t="shared" si="8"/>
        <v>498680</v>
      </c>
      <c r="AM11" s="20">
        <f t="shared" si="9"/>
        <v>577305</v>
      </c>
      <c r="AN11" s="20">
        <f t="shared" si="10"/>
        <v>623624</v>
      </c>
    </row>
    <row r="12" spans="1:40">
      <c r="A12" s="20" t="str">
        <f>'伤害统计(理想)'!A12</f>
        <v>两仪化形(4</v>
      </c>
      <c r="B12" s="20">
        <f>'伤害统计(理想)'!B12</f>
        <v>2466</v>
      </c>
      <c r="C12" s="20">
        <f>'伤害统计(理想)'!C12</f>
        <v>34400</v>
      </c>
      <c r="D12" s="20">
        <f>'伤害统计(理想)'!D12</f>
        <v>45792</v>
      </c>
      <c r="E12" s="20">
        <f>'伤害统计(理想)'!E12</f>
        <v>1.654186908</v>
      </c>
      <c r="F12" s="20">
        <f>'伤害统计(理想)'!F12</f>
        <v>1</v>
      </c>
      <c r="G12" s="20">
        <f>'伤害统计(理想)'!G12</f>
        <v>0.09</v>
      </c>
      <c r="H12" s="20">
        <f>'伤害统计(理想)'!H12</f>
        <v>0.2</v>
      </c>
      <c r="I12" s="20">
        <f>'伤害统计(理想)'!I12</f>
        <v>0.05</v>
      </c>
      <c r="J12" s="20">
        <f>'伤害统计(理想)'!J12</f>
        <v>0.472</v>
      </c>
      <c r="K12" s="20">
        <f>'伤害统计(理想)'!K12</f>
        <v>0.1181</v>
      </c>
      <c r="L12" s="20">
        <f>'伤害统计(理想)'!L12</f>
        <v>0.177214436704937</v>
      </c>
      <c r="M12" s="20">
        <f>'伤害统计(理想)'!M12</f>
        <v>0.3473</v>
      </c>
      <c r="N12" s="20">
        <f>'伤害统计(理想)'!N12</f>
        <v>0.2</v>
      </c>
      <c r="O12" s="20">
        <f>'伤害统计(理想)'!O12</f>
        <v>0.4994</v>
      </c>
      <c r="P12" s="20">
        <f>'伤害统计(理想)'!P12</f>
        <v>0.04</v>
      </c>
      <c r="Q12" s="20">
        <f>'伤害统计(理想)'!Q12</f>
        <v>0.5394</v>
      </c>
      <c r="R12" s="20">
        <f>'伤害统计(理想)'!R12</f>
        <v>0.2441</v>
      </c>
      <c r="S12" s="20">
        <f>'伤害统计(理想)'!S12</f>
        <v>0.7835</v>
      </c>
      <c r="T12" s="8">
        <f>T2</f>
        <v>2.096257</v>
      </c>
      <c r="U12" s="20">
        <f>'伤害统计(理想)'!U12</f>
        <v>0</v>
      </c>
      <c r="V12" s="20">
        <f t="shared" si="11"/>
        <v>2.096257</v>
      </c>
      <c r="W12" s="20">
        <f>'伤害统计(理想)'!W12</f>
        <v>0.2441</v>
      </c>
      <c r="X12" s="20">
        <f t="shared" si="12"/>
        <v>2.340357</v>
      </c>
      <c r="Y12" s="20">
        <f>'伤害统计(理想)'!Y12</f>
        <v>0.2441</v>
      </c>
      <c r="Z12" s="20">
        <f t="shared" si="13"/>
        <v>2.340357</v>
      </c>
      <c r="AA12" s="20">
        <f>'伤害统计(理想)'!AA12</f>
        <v>0.1953</v>
      </c>
      <c r="AB12" s="20">
        <f t="shared" si="14"/>
        <v>2.535657</v>
      </c>
      <c r="AC12" s="20">
        <f t="shared" si="0"/>
        <v>138296</v>
      </c>
      <c r="AD12" s="20">
        <f t="shared" si="1"/>
        <v>188606</v>
      </c>
      <c r="AE12" s="20">
        <f t="shared" si="2"/>
        <v>203738</v>
      </c>
      <c r="AF12" s="20">
        <f t="shared" si="3"/>
        <v>289903</v>
      </c>
      <c r="AG12" s="20">
        <f t="shared" si="4"/>
        <v>441405</v>
      </c>
      <c r="AH12" s="20">
        <f t="shared" si="15"/>
        <v>517567</v>
      </c>
      <c r="AI12" s="20">
        <f t="shared" si="5"/>
        <v>163451</v>
      </c>
      <c r="AJ12" s="20">
        <f t="shared" si="6"/>
        <v>382533</v>
      </c>
      <c r="AK12" s="20">
        <f t="shared" si="7"/>
        <v>176565</v>
      </c>
      <c r="AL12" s="20">
        <f t="shared" si="8"/>
        <v>413225</v>
      </c>
      <c r="AM12" s="20">
        <f t="shared" si="9"/>
        <v>478240</v>
      </c>
      <c r="AN12" s="20">
        <f t="shared" si="10"/>
        <v>516609</v>
      </c>
    </row>
    <row r="13" spans="1:40">
      <c r="A13" s="20" t="str">
        <f>'伤害统计(理想)'!A13</f>
        <v>两仪化形(3.5</v>
      </c>
      <c r="B13" s="20">
        <f>'伤害统计(理想)'!B13</f>
        <v>2191</v>
      </c>
      <c r="C13" s="20">
        <f>'伤害统计(理想)'!C13</f>
        <v>34400</v>
      </c>
      <c r="D13" s="20">
        <f>'伤害统计(理想)'!D13</f>
        <v>45792</v>
      </c>
      <c r="E13" s="20">
        <f>'伤害统计(理想)'!E13</f>
        <v>1.4586550308</v>
      </c>
      <c r="F13" s="20">
        <f>'伤害统计(理想)'!F13</f>
        <v>1</v>
      </c>
      <c r="G13" s="20">
        <f>'伤害统计(理想)'!G13</f>
        <v>0.09</v>
      </c>
      <c r="H13" s="20">
        <f>'伤害统计(理想)'!H13</f>
        <v>0.2</v>
      </c>
      <c r="I13" s="20">
        <f>'伤害统计(理想)'!I13</f>
        <v>0.05</v>
      </c>
      <c r="J13" s="20">
        <f>'伤害统计(理想)'!J13</f>
        <v>0.472</v>
      </c>
      <c r="K13" s="20">
        <f>'伤害统计(理想)'!K13</f>
        <v>0.1181</v>
      </c>
      <c r="L13" s="20">
        <f>'伤害统计(理想)'!L13</f>
        <v>0.177214436704937</v>
      </c>
      <c r="M13" s="20">
        <f>'伤害统计(理想)'!M13</f>
        <v>0.3473</v>
      </c>
      <c r="N13" s="20">
        <f>'伤害统计(理想)'!N13</f>
        <v>0.2</v>
      </c>
      <c r="O13" s="20">
        <f>'伤害统计(理想)'!O13</f>
        <v>0.4994</v>
      </c>
      <c r="P13" s="20">
        <f>'伤害统计(理想)'!P13</f>
        <v>0.04</v>
      </c>
      <c r="Q13" s="20">
        <f>'伤害统计(理想)'!Q13</f>
        <v>0.5394</v>
      </c>
      <c r="R13" s="20">
        <f>'伤害统计(理想)'!R13</f>
        <v>0.2441</v>
      </c>
      <c r="S13" s="20">
        <f>'伤害统计(理想)'!S13</f>
        <v>0.7835</v>
      </c>
      <c r="T13" s="8">
        <f>T2</f>
        <v>2.096257</v>
      </c>
      <c r="U13" s="20">
        <f>'伤害统计(理想)'!U13</f>
        <v>0</v>
      </c>
      <c r="V13" s="20">
        <f t="shared" si="11"/>
        <v>2.096257</v>
      </c>
      <c r="W13" s="20">
        <f>'伤害统计(理想)'!W13</f>
        <v>0.2441</v>
      </c>
      <c r="X13" s="20">
        <f t="shared" si="12"/>
        <v>2.340357</v>
      </c>
      <c r="Y13" s="20">
        <f>'伤害统计(理想)'!Y13</f>
        <v>0.2441</v>
      </c>
      <c r="Z13" s="20">
        <f t="shared" si="13"/>
        <v>2.340357</v>
      </c>
      <c r="AA13" s="20">
        <f>'伤害统计(理想)'!AA13</f>
        <v>0.1953</v>
      </c>
      <c r="AB13" s="20">
        <f t="shared" si="14"/>
        <v>2.535657</v>
      </c>
      <c r="AC13" s="20">
        <f t="shared" si="0"/>
        <v>121978</v>
      </c>
      <c r="AD13" s="20">
        <f t="shared" si="1"/>
        <v>166341</v>
      </c>
      <c r="AE13" s="20">
        <f t="shared" si="2"/>
        <v>179687</v>
      </c>
      <c r="AF13" s="20">
        <f t="shared" si="3"/>
        <v>255697</v>
      </c>
      <c r="AG13" s="20">
        <f t="shared" si="4"/>
        <v>389297</v>
      </c>
      <c r="AH13" s="20">
        <f t="shared" si="15"/>
        <v>456469</v>
      </c>
      <c r="AI13" s="20">
        <f t="shared" si="5"/>
        <v>144160</v>
      </c>
      <c r="AJ13" s="20">
        <f t="shared" si="6"/>
        <v>337385</v>
      </c>
      <c r="AK13" s="20">
        <f t="shared" si="7"/>
        <v>155726</v>
      </c>
      <c r="AL13" s="20">
        <f t="shared" si="8"/>
        <v>364454</v>
      </c>
      <c r="AM13" s="20">
        <f t="shared" si="9"/>
        <v>421783</v>
      </c>
      <c r="AN13" s="20">
        <f t="shared" si="10"/>
        <v>455624</v>
      </c>
    </row>
    <row r="14" spans="1:40">
      <c r="A14" s="20" t="str">
        <f>'伤害统计(理想)'!A14</f>
        <v>六合1</v>
      </c>
      <c r="B14" s="20">
        <f>'伤害统计(理想)'!B14</f>
        <v>90</v>
      </c>
      <c r="C14" s="20">
        <f>'伤害统计(理想)'!C14</f>
        <v>34400</v>
      </c>
      <c r="D14" s="20">
        <f>'伤害统计(理想)'!D14</f>
        <v>45792</v>
      </c>
      <c r="E14" s="20">
        <f>'伤害统计(理想)'!E14</f>
        <v>0.854167</v>
      </c>
      <c r="F14" s="20">
        <f>'伤害统计(理想)'!F14</f>
        <v>1</v>
      </c>
      <c r="G14" s="20">
        <f>'伤害统计(理想)'!G14</f>
        <v>0</v>
      </c>
      <c r="H14" s="20">
        <f>'伤害统计(理想)'!H14</f>
        <v>0</v>
      </c>
      <c r="I14" s="20">
        <f>'伤害统计(理想)'!I14</f>
        <v>0.05</v>
      </c>
      <c r="J14" s="20">
        <f>'伤害统计(理想)'!J14</f>
        <v>0.472</v>
      </c>
      <c r="K14" s="20">
        <f>'伤害统计(理想)'!K14</f>
        <v>0.1181</v>
      </c>
      <c r="L14" s="20">
        <f>'伤害统计(理想)'!L14</f>
        <v>0.177214436704937</v>
      </c>
      <c r="M14" s="20">
        <f>'伤害统计(理想)'!M14</f>
        <v>0.3473</v>
      </c>
      <c r="N14" s="20">
        <f>'伤害统计(理想)'!N14</f>
        <v>0.2</v>
      </c>
      <c r="O14" s="20">
        <f>'伤害统计(理想)'!O14</f>
        <v>0.4994</v>
      </c>
      <c r="P14" s="20">
        <f>'伤害统计(理想)'!P14</f>
        <v>0</v>
      </c>
      <c r="Q14" s="20">
        <f>'伤害统计(理想)'!Q14</f>
        <v>0.4994</v>
      </c>
      <c r="R14" s="20">
        <f>'伤害统计(理想)'!R14</f>
        <v>0.2441</v>
      </c>
      <c r="S14" s="20">
        <f>'伤害统计(理想)'!S14</f>
        <v>0.7435</v>
      </c>
      <c r="T14" s="8">
        <f>T2</f>
        <v>2.096257</v>
      </c>
      <c r="U14" s="20">
        <f>'伤害统计(理想)'!U14</f>
        <v>0</v>
      </c>
      <c r="V14" s="20">
        <f t="shared" si="11"/>
        <v>2.096257</v>
      </c>
      <c r="W14" s="20">
        <f>'伤害统计(理想)'!W14</f>
        <v>0.2441</v>
      </c>
      <c r="X14" s="20">
        <f t="shared" si="12"/>
        <v>2.340357</v>
      </c>
      <c r="Y14" s="20">
        <f>'伤害统计(理想)'!Y14</f>
        <v>0.2441</v>
      </c>
      <c r="Z14" s="20">
        <f t="shared" si="13"/>
        <v>2.340357</v>
      </c>
      <c r="AA14" s="20">
        <f>'伤害统计(理想)'!AA14</f>
        <v>0.1953</v>
      </c>
      <c r="AB14" s="20">
        <f t="shared" si="14"/>
        <v>2.535657</v>
      </c>
      <c r="AC14" s="20">
        <f t="shared" si="0"/>
        <v>53736</v>
      </c>
      <c r="AD14" s="20">
        <f t="shared" si="1"/>
        <v>73874</v>
      </c>
      <c r="AE14" s="20">
        <f t="shared" si="2"/>
        <v>79801</v>
      </c>
      <c r="AF14" s="20">
        <f t="shared" si="3"/>
        <v>112644</v>
      </c>
      <c r="AG14" s="20">
        <f t="shared" si="4"/>
        <v>172891</v>
      </c>
      <c r="AH14" s="20">
        <f t="shared" si="15"/>
        <v>202723</v>
      </c>
      <c r="AI14" s="20">
        <f t="shared" si="5"/>
        <v>63805</v>
      </c>
      <c r="AJ14" s="20">
        <f t="shared" si="6"/>
        <v>149326</v>
      </c>
      <c r="AK14" s="20">
        <f t="shared" si="7"/>
        <v>68924</v>
      </c>
      <c r="AL14" s="20">
        <f t="shared" si="8"/>
        <v>161306</v>
      </c>
      <c r="AM14" s="20">
        <f t="shared" si="9"/>
        <v>187319</v>
      </c>
      <c r="AN14" s="20">
        <f t="shared" si="10"/>
        <v>202347</v>
      </c>
    </row>
    <row r="15" spans="1:40">
      <c r="A15" s="20" t="str">
        <f>'伤害统计(理想)'!A15</f>
        <v>六合2</v>
      </c>
      <c r="B15" s="20">
        <f>'伤害统计(理想)'!B15</f>
        <v>90</v>
      </c>
      <c r="C15" s="20">
        <f>'伤害统计(理想)'!C15</f>
        <v>34400</v>
      </c>
      <c r="D15" s="20">
        <f>'伤害统计(理想)'!D15</f>
        <v>45792</v>
      </c>
      <c r="E15" s="20">
        <f>'伤害统计(理想)'!E15</f>
        <v>0.854167</v>
      </c>
      <c r="F15" s="20">
        <f>'伤害统计(理想)'!F15</f>
        <v>1</v>
      </c>
      <c r="G15" s="20">
        <f>'伤害统计(理想)'!G15</f>
        <v>0</v>
      </c>
      <c r="H15" s="20">
        <f>'伤害统计(理想)'!H15</f>
        <v>0.35</v>
      </c>
      <c r="I15" s="20">
        <f>'伤害统计(理想)'!I15</f>
        <v>0.05</v>
      </c>
      <c r="J15" s="20">
        <f>'伤害统计(理想)'!J15</f>
        <v>0.472</v>
      </c>
      <c r="K15" s="20">
        <f>'伤害统计(理想)'!K15</f>
        <v>0.1181</v>
      </c>
      <c r="L15" s="20">
        <f>'伤害统计(理想)'!L15</f>
        <v>0.177214436704937</v>
      </c>
      <c r="M15" s="20">
        <f>'伤害统计(理想)'!M15</f>
        <v>0.3473</v>
      </c>
      <c r="N15" s="20">
        <f>'伤害统计(理想)'!N15</f>
        <v>0.2</v>
      </c>
      <c r="O15" s="20">
        <f>'伤害统计(理想)'!O15</f>
        <v>0.4994</v>
      </c>
      <c r="P15" s="20">
        <f>'伤害统计(理想)'!P15</f>
        <v>0</v>
      </c>
      <c r="Q15" s="20">
        <f>'伤害统计(理想)'!Q15</f>
        <v>0.4994</v>
      </c>
      <c r="R15" s="20">
        <f>'伤害统计(理想)'!R15</f>
        <v>0.2441</v>
      </c>
      <c r="S15" s="20">
        <f>'伤害统计(理想)'!S15</f>
        <v>0.7435</v>
      </c>
      <c r="T15" s="8">
        <f>T2</f>
        <v>2.096257</v>
      </c>
      <c r="U15" s="20">
        <f>'伤害统计(理想)'!U15</f>
        <v>0</v>
      </c>
      <c r="V15" s="20">
        <f t="shared" si="11"/>
        <v>2.096257</v>
      </c>
      <c r="W15" s="20">
        <f>'伤害统计(理想)'!W15</f>
        <v>0.2441</v>
      </c>
      <c r="X15" s="20">
        <f t="shared" si="12"/>
        <v>2.340357</v>
      </c>
      <c r="Y15" s="20">
        <f>'伤害统计(理想)'!Y15</f>
        <v>0.2441</v>
      </c>
      <c r="Z15" s="20">
        <f t="shared" si="13"/>
        <v>2.340357</v>
      </c>
      <c r="AA15" s="20">
        <f>'伤害统计(理想)'!AA15</f>
        <v>0.1953</v>
      </c>
      <c r="AB15" s="20">
        <f t="shared" si="14"/>
        <v>2.535657</v>
      </c>
      <c r="AC15" s="20">
        <f t="shared" si="0"/>
        <v>72544</v>
      </c>
      <c r="AD15" s="20">
        <f t="shared" si="1"/>
        <v>99730</v>
      </c>
      <c r="AE15" s="20">
        <f t="shared" si="2"/>
        <v>107731</v>
      </c>
      <c r="AF15" s="20">
        <f t="shared" si="3"/>
        <v>152070</v>
      </c>
      <c r="AG15" s="20">
        <f t="shared" si="4"/>
        <v>233403</v>
      </c>
      <c r="AH15" s="20">
        <f>INT(AE15*(T15+U15+0.4441+按提示输入属性!D64*0.1953))</f>
        <v>294715</v>
      </c>
      <c r="AI15" s="20">
        <f t="shared" si="5"/>
        <v>86137</v>
      </c>
      <c r="AJ15" s="20">
        <f t="shared" si="6"/>
        <v>201591</v>
      </c>
      <c r="AK15" s="20">
        <f t="shared" si="7"/>
        <v>93047</v>
      </c>
      <c r="AL15" s="20">
        <f t="shared" si="8"/>
        <v>217763</v>
      </c>
      <c r="AM15" s="20">
        <f t="shared" si="9"/>
        <v>252881</v>
      </c>
      <c r="AN15" s="20">
        <f t="shared" si="10"/>
        <v>273168</v>
      </c>
    </row>
    <row r="16" spans="1:40">
      <c r="A16" s="20" t="str">
        <f>'伤害统计(理想)'!A16</f>
        <v>六合3</v>
      </c>
      <c r="B16" s="20">
        <f>'伤害统计(理想)'!B16</f>
        <v>90</v>
      </c>
      <c r="C16" s="20">
        <f>'伤害统计(理想)'!C16</f>
        <v>34400</v>
      </c>
      <c r="D16" s="20">
        <f>'伤害统计(理想)'!D16</f>
        <v>45792</v>
      </c>
      <c r="E16" s="20">
        <f>'伤害统计(理想)'!E16</f>
        <v>0.854167</v>
      </c>
      <c r="F16" s="20">
        <f>'伤害统计(理想)'!F16</f>
        <v>1</v>
      </c>
      <c r="G16" s="20">
        <f>'伤害统计(理想)'!G16</f>
        <v>0</v>
      </c>
      <c r="H16" s="20">
        <f>'伤害统计(理想)'!H16</f>
        <v>0.7</v>
      </c>
      <c r="I16" s="20">
        <f>'伤害统计(理想)'!I16</f>
        <v>0.05</v>
      </c>
      <c r="J16" s="20">
        <f>'伤害统计(理想)'!J16</f>
        <v>0.472</v>
      </c>
      <c r="K16" s="20">
        <f>'伤害统计(理想)'!K16</f>
        <v>0.1181</v>
      </c>
      <c r="L16" s="20">
        <f>'伤害统计(理想)'!L16</f>
        <v>0.177214436704937</v>
      </c>
      <c r="M16" s="20">
        <f>'伤害统计(理想)'!M16</f>
        <v>0.3473</v>
      </c>
      <c r="N16" s="20">
        <f>'伤害统计(理想)'!N16</f>
        <v>0.2</v>
      </c>
      <c r="O16" s="20">
        <f>'伤害统计(理想)'!O16</f>
        <v>0.4994</v>
      </c>
      <c r="P16" s="20">
        <f>'伤害统计(理想)'!P16</f>
        <v>0</v>
      </c>
      <c r="Q16" s="20">
        <f>'伤害统计(理想)'!Q16</f>
        <v>0.4994</v>
      </c>
      <c r="R16" s="20">
        <f>'伤害统计(理想)'!R16</f>
        <v>0.2441</v>
      </c>
      <c r="S16" s="20">
        <f>'伤害统计(理想)'!S16</f>
        <v>0.7435</v>
      </c>
      <c r="T16" s="8">
        <f>T2</f>
        <v>2.096257</v>
      </c>
      <c r="U16" s="20">
        <f>'伤害统计(理想)'!U16</f>
        <v>0</v>
      </c>
      <c r="V16" s="20">
        <f t="shared" si="11"/>
        <v>2.096257</v>
      </c>
      <c r="W16" s="20">
        <f>'伤害统计(理想)'!W16</f>
        <v>0.2441</v>
      </c>
      <c r="X16" s="20">
        <f t="shared" si="12"/>
        <v>2.340357</v>
      </c>
      <c r="Y16" s="20">
        <f>'伤害统计(理想)'!Y16</f>
        <v>0.2441</v>
      </c>
      <c r="Z16" s="20">
        <f t="shared" si="13"/>
        <v>2.340357</v>
      </c>
      <c r="AA16" s="20">
        <f>'伤害统计(理想)'!AA16</f>
        <v>0.1953</v>
      </c>
      <c r="AB16" s="20">
        <f t="shared" si="14"/>
        <v>2.535657</v>
      </c>
      <c r="AC16" s="20">
        <f t="shared" si="0"/>
        <v>91351</v>
      </c>
      <c r="AD16" s="20">
        <f t="shared" si="1"/>
        <v>125585</v>
      </c>
      <c r="AE16" s="20">
        <f t="shared" si="2"/>
        <v>135661</v>
      </c>
      <c r="AF16" s="20">
        <f t="shared" si="3"/>
        <v>191495</v>
      </c>
      <c r="AG16" s="20">
        <f t="shared" si="4"/>
        <v>293913</v>
      </c>
      <c r="AH16" s="20">
        <f>INT(AE16*(T16+U16+0.4441+按提示输入属性!D64*0.1953))</f>
        <v>371121</v>
      </c>
      <c r="AI16" s="20">
        <f t="shared" si="5"/>
        <v>108468</v>
      </c>
      <c r="AJ16" s="20">
        <f t="shared" si="6"/>
        <v>253853</v>
      </c>
      <c r="AK16" s="20">
        <f t="shared" si="7"/>
        <v>117171</v>
      </c>
      <c r="AL16" s="20">
        <f t="shared" si="8"/>
        <v>274221</v>
      </c>
      <c r="AM16" s="20">
        <f t="shared" si="9"/>
        <v>318440</v>
      </c>
      <c r="AN16" s="20">
        <f t="shared" si="10"/>
        <v>343989</v>
      </c>
    </row>
    <row r="17" spans="1:40">
      <c r="A17" s="20" t="str">
        <f>'伤害统计(理想)'!A17</f>
        <v>六合4</v>
      </c>
      <c r="B17" s="20">
        <f>'伤害统计(理想)'!B17</f>
        <v>90</v>
      </c>
      <c r="C17" s="20">
        <f>'伤害统计(理想)'!C17</f>
        <v>34400</v>
      </c>
      <c r="D17" s="20">
        <f>'伤害统计(理想)'!D17</f>
        <v>45792</v>
      </c>
      <c r="E17" s="20">
        <f>'伤害统计(理想)'!E17</f>
        <v>0.854167</v>
      </c>
      <c r="F17" s="20">
        <f>'伤害统计(理想)'!F17</f>
        <v>1</v>
      </c>
      <c r="G17" s="20">
        <f>'伤害统计(理想)'!G17</f>
        <v>0</v>
      </c>
      <c r="H17" s="20">
        <f>'伤害统计(理想)'!H17</f>
        <v>1.05</v>
      </c>
      <c r="I17" s="20">
        <f>'伤害统计(理想)'!I17</f>
        <v>0.05</v>
      </c>
      <c r="J17" s="20">
        <f>'伤害统计(理想)'!J17</f>
        <v>0.472</v>
      </c>
      <c r="K17" s="20">
        <f>'伤害统计(理想)'!K17</f>
        <v>0.1181</v>
      </c>
      <c r="L17" s="20">
        <f>'伤害统计(理想)'!L17</f>
        <v>0.177214436704937</v>
      </c>
      <c r="M17" s="20">
        <f>'伤害统计(理想)'!M17</f>
        <v>0.3473</v>
      </c>
      <c r="N17" s="20">
        <f>'伤害统计(理想)'!N17</f>
        <v>0.2</v>
      </c>
      <c r="O17" s="20">
        <f>'伤害统计(理想)'!O17</f>
        <v>0.4994</v>
      </c>
      <c r="P17" s="20">
        <f>'伤害统计(理想)'!P17</f>
        <v>0</v>
      </c>
      <c r="Q17" s="20">
        <f>'伤害统计(理想)'!Q17</f>
        <v>0.4994</v>
      </c>
      <c r="R17" s="20">
        <f>'伤害统计(理想)'!R17</f>
        <v>0.2441</v>
      </c>
      <c r="S17" s="20">
        <f>'伤害统计(理想)'!S17</f>
        <v>0.7435</v>
      </c>
      <c r="T17" s="8">
        <f>T2</f>
        <v>2.096257</v>
      </c>
      <c r="U17" s="20">
        <f>'伤害统计(理想)'!U17</f>
        <v>0</v>
      </c>
      <c r="V17" s="20">
        <f t="shared" si="11"/>
        <v>2.096257</v>
      </c>
      <c r="W17" s="20">
        <f>'伤害统计(理想)'!W17</f>
        <v>0.2441</v>
      </c>
      <c r="X17" s="20">
        <f t="shared" si="12"/>
        <v>2.340357</v>
      </c>
      <c r="Y17" s="20">
        <f>'伤害统计(理想)'!Y17</f>
        <v>0.2441</v>
      </c>
      <c r="Z17" s="20">
        <f t="shared" si="13"/>
        <v>2.340357</v>
      </c>
      <c r="AA17" s="20">
        <f>'伤害统计(理想)'!AA17</f>
        <v>0.1953</v>
      </c>
      <c r="AB17" s="20">
        <f t="shared" si="14"/>
        <v>2.535657</v>
      </c>
      <c r="AC17" s="20">
        <f t="shared" si="0"/>
        <v>110159</v>
      </c>
      <c r="AD17" s="20">
        <f t="shared" si="1"/>
        <v>151441</v>
      </c>
      <c r="AE17" s="20">
        <f t="shared" si="2"/>
        <v>163592</v>
      </c>
      <c r="AF17" s="20">
        <f t="shared" si="3"/>
        <v>230921</v>
      </c>
      <c r="AG17" s="20">
        <f t="shared" si="4"/>
        <v>354426</v>
      </c>
      <c r="AH17" s="20">
        <f>INT(AE17*(T17+U17+0.4441+按提示输入属性!D64*0.1953))</f>
        <v>447531</v>
      </c>
      <c r="AI17" s="20">
        <f t="shared" si="5"/>
        <v>130800</v>
      </c>
      <c r="AJ17" s="20">
        <f t="shared" si="6"/>
        <v>306118</v>
      </c>
      <c r="AK17" s="20">
        <f t="shared" si="7"/>
        <v>141295</v>
      </c>
      <c r="AL17" s="20">
        <f t="shared" si="8"/>
        <v>330680</v>
      </c>
      <c r="AM17" s="20">
        <f t="shared" si="9"/>
        <v>384002</v>
      </c>
      <c r="AN17" s="20">
        <f t="shared" si="10"/>
        <v>414813</v>
      </c>
    </row>
    <row r="18" spans="1:40">
      <c r="A18" s="20" t="str">
        <f>'伤害统计(理想)'!A18</f>
        <v>六合5</v>
      </c>
      <c r="B18" s="20">
        <f>'伤害统计(理想)'!B18</f>
        <v>90</v>
      </c>
      <c r="C18" s="20">
        <f>'伤害统计(理想)'!C18</f>
        <v>34400</v>
      </c>
      <c r="D18" s="20">
        <f>'伤害统计(理想)'!D18</f>
        <v>45792</v>
      </c>
      <c r="E18" s="20">
        <f>'伤害统计(理想)'!E18</f>
        <v>0.854167</v>
      </c>
      <c r="F18" s="20">
        <f>'伤害统计(理想)'!F18</f>
        <v>1</v>
      </c>
      <c r="G18" s="20">
        <f>'伤害统计(理想)'!G18</f>
        <v>0</v>
      </c>
      <c r="H18" s="20">
        <f>'伤害统计(理想)'!H18</f>
        <v>1.4</v>
      </c>
      <c r="I18" s="20">
        <f>'伤害统计(理想)'!I18</f>
        <v>0.05</v>
      </c>
      <c r="J18" s="20">
        <f>'伤害统计(理想)'!J18</f>
        <v>0.472</v>
      </c>
      <c r="K18" s="20">
        <f>'伤害统计(理想)'!K18</f>
        <v>0.1181</v>
      </c>
      <c r="L18" s="20">
        <f>'伤害统计(理想)'!L18</f>
        <v>0.177214436704937</v>
      </c>
      <c r="M18" s="20">
        <f>'伤害统计(理想)'!M18</f>
        <v>0.3473</v>
      </c>
      <c r="N18" s="20">
        <f>'伤害统计(理想)'!N18</f>
        <v>0.2</v>
      </c>
      <c r="O18" s="20">
        <f>'伤害统计(理想)'!O18</f>
        <v>0.4994</v>
      </c>
      <c r="P18" s="20">
        <f>'伤害统计(理想)'!P18</f>
        <v>0</v>
      </c>
      <c r="Q18" s="20">
        <f>'伤害统计(理想)'!Q18</f>
        <v>0.4994</v>
      </c>
      <c r="R18" s="20">
        <f>'伤害统计(理想)'!R18</f>
        <v>0.2441</v>
      </c>
      <c r="S18" s="20">
        <f>'伤害统计(理想)'!S18</f>
        <v>0.7435</v>
      </c>
      <c r="T18" s="8">
        <f>T2</f>
        <v>2.096257</v>
      </c>
      <c r="U18" s="20">
        <f>'伤害统计(理想)'!U18</f>
        <v>0</v>
      </c>
      <c r="V18" s="20">
        <f t="shared" si="11"/>
        <v>2.096257</v>
      </c>
      <c r="W18" s="20">
        <f>'伤害统计(理想)'!W18</f>
        <v>0.2441</v>
      </c>
      <c r="X18" s="20">
        <f t="shared" si="12"/>
        <v>2.340357</v>
      </c>
      <c r="Y18" s="20">
        <f>'伤害统计(理想)'!Y18</f>
        <v>0.2441</v>
      </c>
      <c r="Z18" s="20">
        <f t="shared" si="13"/>
        <v>2.340357</v>
      </c>
      <c r="AA18" s="20">
        <f>'伤害统计(理想)'!AA18</f>
        <v>0.1953</v>
      </c>
      <c r="AB18" s="20">
        <f t="shared" si="14"/>
        <v>2.535657</v>
      </c>
      <c r="AC18" s="20">
        <f t="shared" si="0"/>
        <v>128967</v>
      </c>
      <c r="AD18" s="20">
        <f t="shared" si="1"/>
        <v>177297</v>
      </c>
      <c r="AE18" s="20">
        <f t="shared" si="2"/>
        <v>191522</v>
      </c>
      <c r="AF18" s="20">
        <f t="shared" si="3"/>
        <v>270347</v>
      </c>
      <c r="AG18" s="20">
        <f t="shared" si="4"/>
        <v>414938</v>
      </c>
      <c r="AH18" s="20">
        <f>INT(AE18*(T18+U18+0.4441+按提示输入属性!D64*0.1953))</f>
        <v>523938</v>
      </c>
      <c r="AI18" s="20">
        <f t="shared" si="5"/>
        <v>153132</v>
      </c>
      <c r="AJ18" s="20">
        <f t="shared" si="6"/>
        <v>358383</v>
      </c>
      <c r="AK18" s="20">
        <f t="shared" si="7"/>
        <v>165418</v>
      </c>
      <c r="AL18" s="20">
        <f t="shared" si="8"/>
        <v>387137</v>
      </c>
      <c r="AM18" s="20">
        <f t="shared" si="9"/>
        <v>449564</v>
      </c>
      <c r="AN18" s="20">
        <f t="shared" si="10"/>
        <v>485634</v>
      </c>
    </row>
    <row r="19" spans="1:40">
      <c r="A19" s="20" t="str">
        <f>'伤害统计(理想)'!A19</f>
        <v>破</v>
      </c>
      <c r="B19" s="20">
        <f>'伤害统计(理想)'!B19</f>
        <v>0</v>
      </c>
      <c r="C19" s="20">
        <f>'伤害统计(理想)'!C19</f>
        <v>0</v>
      </c>
      <c r="D19" s="20">
        <f>'伤害统计(理想)'!D19</f>
        <v>21804</v>
      </c>
      <c r="E19" s="20">
        <f>'伤害统计(理想)'!E19</f>
        <v>10.94936</v>
      </c>
      <c r="F19" s="20">
        <f>'伤害统计(理想)'!F19</f>
        <v>1</v>
      </c>
      <c r="G19" s="20">
        <f>'伤害统计(理想)'!G19</f>
        <v>0</v>
      </c>
      <c r="H19" s="20">
        <f>'伤害统计(理想)'!H19</f>
        <v>0</v>
      </c>
      <c r="I19" s="20">
        <f>'伤害统计(理想)'!I19</f>
        <v>0.05</v>
      </c>
      <c r="J19" s="20">
        <f>'伤害统计(理想)'!J19</f>
        <v>0.472</v>
      </c>
      <c r="K19" s="20">
        <f>'伤害统计(理想)'!K19</f>
        <v>0.1181</v>
      </c>
      <c r="L19" s="20">
        <f>'伤害统计(理想)'!L19</f>
        <v>0.177214436704937</v>
      </c>
      <c r="M19" s="20">
        <f>'伤害统计(理想)'!M19</f>
        <v>0.3473</v>
      </c>
      <c r="N19" s="20">
        <f>'伤害统计(理想)'!N19</f>
        <v>0.2</v>
      </c>
      <c r="O19" s="20">
        <f>'伤害统计(理想)'!O19</f>
        <v>0.4994</v>
      </c>
      <c r="P19" s="20">
        <f>'伤害统计(理想)'!P19</f>
        <v>0</v>
      </c>
      <c r="Q19" s="20">
        <f>'伤害统计(理想)'!Q19</f>
        <v>0.4994</v>
      </c>
      <c r="R19" s="20">
        <f>'伤害统计(理想)'!R19</f>
        <v>0.2441</v>
      </c>
      <c r="S19" s="20">
        <f>'伤害统计(理想)'!S19</f>
        <v>0.7435</v>
      </c>
      <c r="T19" s="8">
        <f>T2</f>
        <v>2.096257</v>
      </c>
      <c r="U19" s="20">
        <f>'伤害统计(理想)'!U19</f>
        <v>0</v>
      </c>
      <c r="V19" s="20">
        <f t="shared" si="11"/>
        <v>2.096257</v>
      </c>
      <c r="W19" s="20">
        <f>'伤害统计(理想)'!W19</f>
        <v>0.2441</v>
      </c>
      <c r="X19" s="20">
        <f t="shared" si="12"/>
        <v>2.340357</v>
      </c>
      <c r="Y19" s="20">
        <f>'伤害统计(理想)'!Y19</f>
        <v>0.2441</v>
      </c>
      <c r="Z19" s="20">
        <f t="shared" si="13"/>
        <v>2.340357</v>
      </c>
      <c r="AA19" s="20">
        <f>'伤害统计(理想)'!AA19</f>
        <v>0.1953</v>
      </c>
      <c r="AB19" s="20">
        <f t="shared" si="14"/>
        <v>2.535657</v>
      </c>
      <c r="AC19" s="20">
        <f t="shared" si="0"/>
        <v>327236</v>
      </c>
      <c r="AD19" s="20">
        <f t="shared" si="1"/>
        <v>327237</v>
      </c>
      <c r="AE19" s="20">
        <f t="shared" si="2"/>
        <v>353492</v>
      </c>
      <c r="AF19" s="20">
        <f t="shared" si="3"/>
        <v>685970</v>
      </c>
      <c r="AG19" s="20">
        <f t="shared" si="4"/>
        <v>765851</v>
      </c>
      <c r="AH19" s="20">
        <f t="shared" ref="AH19:AH32" si="16">INT(AE19*(T19+U19+0.4441))</f>
        <v>897995</v>
      </c>
      <c r="AI19" s="20">
        <f t="shared" si="5"/>
        <v>327237</v>
      </c>
      <c r="AJ19" s="20">
        <f t="shared" si="6"/>
        <v>765851</v>
      </c>
      <c r="AK19" s="20">
        <f t="shared" si="7"/>
        <v>353492</v>
      </c>
      <c r="AL19" s="20">
        <f t="shared" si="8"/>
        <v>827297</v>
      </c>
      <c r="AM19" s="20">
        <f t="shared" si="9"/>
        <v>829760</v>
      </c>
      <c r="AN19" s="20">
        <f t="shared" si="10"/>
        <v>896334</v>
      </c>
    </row>
    <row r="20" spans="1:40">
      <c r="A20" s="20" t="str">
        <f>'伤害统计(理想)'!A20</f>
        <v>破(3.5</v>
      </c>
      <c r="B20" s="20">
        <f>'伤害统计(理想)'!B20</f>
        <v>0</v>
      </c>
      <c r="C20" s="20">
        <f>'伤害统计(理想)'!C20</f>
        <v>0</v>
      </c>
      <c r="D20" s="20">
        <f>'伤害统计(理想)'!D20</f>
        <v>21804</v>
      </c>
      <c r="E20" s="20">
        <f>'伤害统计(理想)'!E20</f>
        <v>3.9576</v>
      </c>
      <c r="F20" s="20">
        <f>'伤害统计(理想)'!F20</f>
        <v>1</v>
      </c>
      <c r="G20" s="20">
        <f>'伤害统计(理想)'!G20</f>
        <v>0</v>
      </c>
      <c r="H20" s="20">
        <f>'伤害统计(理想)'!H20</f>
        <v>0</v>
      </c>
      <c r="I20" s="20">
        <f>'伤害统计(理想)'!I20</f>
        <v>0.05</v>
      </c>
      <c r="J20" s="20">
        <f>'伤害统计(理想)'!J20</f>
        <v>0.472</v>
      </c>
      <c r="K20" s="20">
        <f>'伤害统计(理想)'!K20</f>
        <v>0.1181</v>
      </c>
      <c r="L20" s="20">
        <f>'伤害统计(理想)'!L20</f>
        <v>0.177214436704937</v>
      </c>
      <c r="M20" s="20">
        <f>'伤害统计(理想)'!M20</f>
        <v>0.3473</v>
      </c>
      <c r="N20" s="20">
        <f>'伤害统计(理想)'!N20</f>
        <v>0.2</v>
      </c>
      <c r="O20" s="20">
        <f>'伤害统计(理想)'!O20</f>
        <v>0.4994</v>
      </c>
      <c r="P20" s="20">
        <f>'伤害统计(理想)'!P20</f>
        <v>0</v>
      </c>
      <c r="Q20" s="20">
        <f>'伤害统计(理想)'!Q20</f>
        <v>0.4994</v>
      </c>
      <c r="R20" s="20">
        <f>'伤害统计(理想)'!R20</f>
        <v>0.2441</v>
      </c>
      <c r="S20" s="20">
        <f>'伤害统计(理想)'!S20</f>
        <v>0.7435</v>
      </c>
      <c r="T20" s="8">
        <f>T2</f>
        <v>2.096257</v>
      </c>
      <c r="U20" s="20">
        <f>'伤害统计(理想)'!U20</f>
        <v>0</v>
      </c>
      <c r="V20" s="20">
        <f t="shared" si="11"/>
        <v>2.096257</v>
      </c>
      <c r="W20" s="20">
        <f>'伤害统计(理想)'!W20</f>
        <v>0.2441</v>
      </c>
      <c r="X20" s="20">
        <f t="shared" si="12"/>
        <v>2.340357</v>
      </c>
      <c r="Y20" s="20">
        <f>'伤害统计(理想)'!Y20</f>
        <v>0.2441</v>
      </c>
      <c r="Z20" s="20">
        <f t="shared" si="13"/>
        <v>2.340357</v>
      </c>
      <c r="AA20" s="20">
        <f>'伤害统计(理想)'!AA20</f>
        <v>0.1953</v>
      </c>
      <c r="AB20" s="20">
        <f t="shared" si="14"/>
        <v>2.535657</v>
      </c>
      <c r="AC20" s="20">
        <f t="shared" si="0"/>
        <v>118277</v>
      </c>
      <c r="AD20" s="20">
        <f t="shared" si="1"/>
        <v>118278</v>
      </c>
      <c r="AE20" s="20">
        <f t="shared" si="2"/>
        <v>127768</v>
      </c>
      <c r="AF20" s="20">
        <f t="shared" si="3"/>
        <v>247938</v>
      </c>
      <c r="AG20" s="20">
        <f t="shared" si="4"/>
        <v>276812</v>
      </c>
      <c r="AH20" s="20">
        <f t="shared" si="16"/>
        <v>324576</v>
      </c>
      <c r="AI20" s="20">
        <f t="shared" si="5"/>
        <v>118278</v>
      </c>
      <c r="AJ20" s="20">
        <f t="shared" si="6"/>
        <v>276812</v>
      </c>
      <c r="AK20" s="20">
        <f t="shared" si="7"/>
        <v>127768</v>
      </c>
      <c r="AL20" s="20">
        <f t="shared" si="8"/>
        <v>299022</v>
      </c>
      <c r="AM20" s="20">
        <f t="shared" si="9"/>
        <v>299912</v>
      </c>
      <c r="AN20" s="20">
        <f t="shared" si="10"/>
        <v>323975</v>
      </c>
    </row>
    <row r="21" spans="1:40">
      <c r="A21" s="20" t="str">
        <f>'伤害统计(理想)'!A21</f>
        <v>破(万世二段</v>
      </c>
      <c r="B21" s="20">
        <f>'伤害统计(理想)'!B21</f>
        <v>0</v>
      </c>
      <c r="C21" s="20">
        <f>'伤害统计(理想)'!C21</f>
        <v>0</v>
      </c>
      <c r="D21" s="20">
        <f>'伤害统计(理想)'!D21</f>
        <v>21804</v>
      </c>
      <c r="E21" s="20">
        <f>'伤害统计(理想)'!E21</f>
        <v>7.9152</v>
      </c>
      <c r="F21" s="20">
        <f>'伤害统计(理想)'!F21</f>
        <v>1</v>
      </c>
      <c r="G21" s="20">
        <f>'伤害统计(理想)'!G21</f>
        <v>0</v>
      </c>
      <c r="H21" s="20">
        <f>'伤害统计(理想)'!H21</f>
        <v>0</v>
      </c>
      <c r="I21" s="20">
        <f>'伤害统计(理想)'!I21</f>
        <v>0.05</v>
      </c>
      <c r="J21" s="20">
        <f>'伤害统计(理想)'!J21</f>
        <v>0.472</v>
      </c>
      <c r="K21" s="20">
        <f>'伤害统计(理想)'!K21</f>
        <v>0.1181</v>
      </c>
      <c r="L21" s="20">
        <f>'伤害统计(理想)'!L21</f>
        <v>0.177214436704937</v>
      </c>
      <c r="M21" s="20">
        <f>'伤害统计(理想)'!M21</f>
        <v>0.3473</v>
      </c>
      <c r="N21" s="20">
        <f>'伤害统计(理想)'!N21</f>
        <v>0.2</v>
      </c>
      <c r="O21" s="20">
        <f>'伤害统计(理想)'!O21</f>
        <v>0.4994</v>
      </c>
      <c r="P21" s="20">
        <f>'伤害统计(理想)'!P21</f>
        <v>0</v>
      </c>
      <c r="Q21" s="20">
        <f>'伤害统计(理想)'!Q21</f>
        <v>0.4994</v>
      </c>
      <c r="R21" s="20">
        <f>'伤害统计(理想)'!R21</f>
        <v>0.2441</v>
      </c>
      <c r="S21" s="20">
        <f>'伤害统计(理想)'!S21</f>
        <v>0.7435</v>
      </c>
      <c r="T21" s="8">
        <f>T2</f>
        <v>2.096257</v>
      </c>
      <c r="U21" s="20">
        <f>'伤害统计(理想)'!U21</f>
        <v>0</v>
      </c>
      <c r="V21" s="20">
        <f t="shared" si="11"/>
        <v>2.096257</v>
      </c>
      <c r="W21" s="20">
        <f>'伤害统计(理想)'!W21</f>
        <v>0.2441</v>
      </c>
      <c r="X21" s="20">
        <f t="shared" si="12"/>
        <v>2.340357</v>
      </c>
      <c r="Y21" s="20">
        <f>'伤害统计(理想)'!Y21</f>
        <v>0.2441</v>
      </c>
      <c r="Z21" s="20">
        <f t="shared" si="13"/>
        <v>2.340357</v>
      </c>
      <c r="AA21" s="20">
        <f>'伤害统计(理想)'!AA21</f>
        <v>0.1953</v>
      </c>
      <c r="AB21" s="20">
        <f t="shared" si="14"/>
        <v>2.535657</v>
      </c>
      <c r="AC21" s="20">
        <f t="shared" si="0"/>
        <v>236557</v>
      </c>
      <c r="AD21" s="20">
        <f t="shared" si="1"/>
        <v>236557</v>
      </c>
      <c r="AE21" s="20">
        <f t="shared" si="2"/>
        <v>255536</v>
      </c>
      <c r="AF21" s="20">
        <f t="shared" si="3"/>
        <v>495884</v>
      </c>
      <c r="AG21" s="20">
        <f t="shared" si="4"/>
        <v>553627</v>
      </c>
      <c r="AH21" s="20">
        <f t="shared" si="16"/>
        <v>649152</v>
      </c>
      <c r="AI21" s="20">
        <f t="shared" si="5"/>
        <v>236557</v>
      </c>
      <c r="AJ21" s="20">
        <f t="shared" si="6"/>
        <v>553627</v>
      </c>
      <c r="AK21" s="20">
        <f t="shared" si="7"/>
        <v>255536</v>
      </c>
      <c r="AL21" s="20">
        <f t="shared" si="8"/>
        <v>598045</v>
      </c>
      <c r="AM21" s="20">
        <f t="shared" si="9"/>
        <v>599827</v>
      </c>
      <c r="AN21" s="20">
        <f t="shared" si="10"/>
        <v>647951</v>
      </c>
    </row>
    <row r="22" spans="1:40">
      <c r="A22" s="20" t="str">
        <f>'伤害统计(理想)'!A22</f>
        <v>三才化生</v>
      </c>
      <c r="B22" s="20">
        <f>'伤害统计(理想)'!B22</f>
        <v>81</v>
      </c>
      <c r="C22" s="20">
        <f>'伤害统计(理想)'!C22</f>
        <v>34400</v>
      </c>
      <c r="D22" s="20">
        <f>'伤害统计(理想)'!D22</f>
        <v>45792</v>
      </c>
      <c r="E22" s="20">
        <f>'伤害统计(理想)'!E22</f>
        <v>0.08</v>
      </c>
      <c r="F22" s="20">
        <f>'伤害统计(理想)'!F22</f>
        <v>1</v>
      </c>
      <c r="G22" s="20">
        <f>'伤害统计(理想)'!G22</f>
        <v>0</v>
      </c>
      <c r="H22" s="20">
        <f>'伤害统计(理想)'!H22</f>
        <v>0</v>
      </c>
      <c r="I22" s="20">
        <f>'伤害统计(理想)'!I22</f>
        <v>0.05</v>
      </c>
      <c r="J22" s="20">
        <f>'伤害统计(理想)'!J22</f>
        <v>0.472</v>
      </c>
      <c r="K22" s="20">
        <f>'伤害统计(理想)'!K22</f>
        <v>0.1181</v>
      </c>
      <c r="L22" s="20">
        <f>'伤害统计(理想)'!L22</f>
        <v>0.177214436704937</v>
      </c>
      <c r="M22" s="20">
        <f>'伤害统计(理想)'!M22</f>
        <v>0.3473</v>
      </c>
      <c r="N22" s="20">
        <f>'伤害统计(理想)'!N22</f>
        <v>0.2</v>
      </c>
      <c r="O22" s="20">
        <f>'伤害统计(理想)'!O22</f>
        <v>0.4994</v>
      </c>
      <c r="P22" s="20">
        <f>'伤害统计(理想)'!P22</f>
        <v>0</v>
      </c>
      <c r="Q22" s="20">
        <f>'伤害统计(理想)'!Q22</f>
        <v>0.4994</v>
      </c>
      <c r="R22" s="20">
        <f>'伤害统计(理想)'!R22</f>
        <v>0.2441</v>
      </c>
      <c r="S22" s="20">
        <f>'伤害统计(理想)'!S22</f>
        <v>0.7435</v>
      </c>
      <c r="T22" s="8">
        <f>T2</f>
        <v>2.096257</v>
      </c>
      <c r="U22" s="20">
        <f>'伤害统计(理想)'!U22</f>
        <v>0</v>
      </c>
      <c r="V22" s="20">
        <f t="shared" si="11"/>
        <v>2.096257</v>
      </c>
      <c r="W22" s="20">
        <f>'伤害统计(理想)'!W22</f>
        <v>0.2441</v>
      </c>
      <c r="X22" s="20">
        <f t="shared" si="12"/>
        <v>2.340357</v>
      </c>
      <c r="Y22" s="20">
        <f>'伤害统计(理想)'!Y22</f>
        <v>0.2441</v>
      </c>
      <c r="Z22" s="20">
        <f t="shared" si="13"/>
        <v>2.340357</v>
      </c>
      <c r="AA22" s="20">
        <f>'伤害统计(理想)'!AA22</f>
        <v>0.1953</v>
      </c>
      <c r="AB22" s="20">
        <f t="shared" si="14"/>
        <v>2.535657</v>
      </c>
      <c r="AC22" s="20">
        <f t="shared" si="0"/>
        <v>5131</v>
      </c>
      <c r="AD22" s="20">
        <f t="shared" si="1"/>
        <v>7018</v>
      </c>
      <c r="AE22" s="20">
        <f t="shared" si="2"/>
        <v>7581</v>
      </c>
      <c r="AF22" s="20">
        <f t="shared" si="3"/>
        <v>10755</v>
      </c>
      <c r="AG22" s="20">
        <f t="shared" si="4"/>
        <v>16424</v>
      </c>
      <c r="AH22" s="20">
        <f t="shared" si="16"/>
        <v>19258</v>
      </c>
      <c r="AI22" s="20">
        <f t="shared" si="5"/>
        <v>6075</v>
      </c>
      <c r="AJ22" s="20">
        <f t="shared" si="6"/>
        <v>14217</v>
      </c>
      <c r="AK22" s="20">
        <f t="shared" si="7"/>
        <v>6562</v>
      </c>
      <c r="AL22" s="20">
        <f t="shared" si="8"/>
        <v>15357</v>
      </c>
      <c r="AM22" s="20">
        <f t="shared" si="9"/>
        <v>17795</v>
      </c>
      <c r="AN22" s="20">
        <f t="shared" si="10"/>
        <v>19222</v>
      </c>
    </row>
    <row r="23" spans="1:40">
      <c r="A23" s="20" t="str">
        <f>'伤害统计(理想)'!A23</f>
        <v>厚亡</v>
      </c>
      <c r="B23" s="20">
        <f>'伤害统计(理想)'!B23</f>
        <v>35</v>
      </c>
      <c r="C23" s="20">
        <f>'伤害统计(理想)'!C23</f>
        <v>34400</v>
      </c>
      <c r="D23" s="20">
        <f>'伤害统计(理想)'!D23</f>
        <v>45792</v>
      </c>
      <c r="E23" s="20">
        <f>'伤害统计(理想)'!E23</f>
        <v>1.625</v>
      </c>
      <c r="F23" s="20">
        <f>'伤害统计(理想)'!F23</f>
        <v>1</v>
      </c>
      <c r="G23" s="20">
        <f>'伤害统计(理想)'!G23</f>
        <v>0</v>
      </c>
      <c r="H23" s="20">
        <f>'伤害统计(理想)'!H23</f>
        <v>0</v>
      </c>
      <c r="I23" s="20">
        <f>'伤害统计(理想)'!I23</f>
        <v>0.05</v>
      </c>
      <c r="J23" s="20">
        <f>'伤害统计(理想)'!J23</f>
        <v>0.472</v>
      </c>
      <c r="K23" s="20">
        <f>'伤害统计(理想)'!K23</f>
        <v>0.1181</v>
      </c>
      <c r="L23" s="20">
        <f>'伤害统计(理想)'!L23</f>
        <v>0.177214436704937</v>
      </c>
      <c r="M23" s="20">
        <f>'伤害统计(理想)'!M23</f>
        <v>0.3473</v>
      </c>
      <c r="N23" s="20">
        <f>'伤害统计(理想)'!N23</f>
        <v>0.2</v>
      </c>
      <c r="O23" s="20">
        <f>'伤害统计(理想)'!O23</f>
        <v>0.4994</v>
      </c>
      <c r="P23" s="20">
        <f>'伤害统计(理想)'!P23</f>
        <v>0</v>
      </c>
      <c r="Q23" s="20">
        <f>'伤害统计(理想)'!Q23</f>
        <v>0.4994</v>
      </c>
      <c r="R23" s="20">
        <f>'伤害统计(理想)'!R23</f>
        <v>0.2441</v>
      </c>
      <c r="S23" s="20">
        <f>'伤害统计(理想)'!S23</f>
        <v>0.7435</v>
      </c>
      <c r="T23" s="8">
        <f>T2</f>
        <v>2.096257</v>
      </c>
      <c r="U23" s="20">
        <f>'伤害统计(理想)'!U23</f>
        <v>0</v>
      </c>
      <c r="V23" s="20">
        <f t="shared" si="11"/>
        <v>2.096257</v>
      </c>
      <c r="W23" s="20">
        <f>'伤害统计(理想)'!W23</f>
        <v>0.2441</v>
      </c>
      <c r="X23" s="20">
        <f t="shared" si="12"/>
        <v>2.340357</v>
      </c>
      <c r="Y23" s="20">
        <f>'伤害统计(理想)'!Y23</f>
        <v>0.2441</v>
      </c>
      <c r="Z23" s="20">
        <f t="shared" si="13"/>
        <v>2.340357</v>
      </c>
      <c r="AA23" s="20">
        <f>'伤害统计(理想)'!AA23</f>
        <v>0.1953</v>
      </c>
      <c r="AB23" s="20">
        <f t="shared" si="14"/>
        <v>2.535657</v>
      </c>
      <c r="AC23" s="20">
        <f t="shared" si="0"/>
        <v>102043</v>
      </c>
      <c r="AD23" s="20">
        <f t="shared" si="1"/>
        <v>140354</v>
      </c>
      <c r="AE23" s="20">
        <f t="shared" si="2"/>
        <v>151614</v>
      </c>
      <c r="AF23" s="20">
        <f t="shared" si="3"/>
        <v>213908</v>
      </c>
      <c r="AG23" s="20">
        <f t="shared" si="4"/>
        <v>328478</v>
      </c>
      <c r="AH23" s="20">
        <f t="shared" si="16"/>
        <v>385153</v>
      </c>
      <c r="AI23" s="20">
        <f t="shared" si="5"/>
        <v>121198</v>
      </c>
      <c r="AJ23" s="20">
        <f t="shared" si="6"/>
        <v>283646</v>
      </c>
      <c r="AK23" s="20">
        <f t="shared" si="7"/>
        <v>130922</v>
      </c>
      <c r="AL23" s="20">
        <f t="shared" si="8"/>
        <v>306404</v>
      </c>
      <c r="AM23" s="20">
        <f t="shared" si="9"/>
        <v>355889</v>
      </c>
      <c r="AN23" s="20">
        <f t="shared" si="10"/>
        <v>384441</v>
      </c>
    </row>
    <row r="24" spans="1:40">
      <c r="A24" s="20" t="str">
        <f>'伤害统计(理想)'!A24</f>
        <v>刃凌</v>
      </c>
      <c r="B24" s="20">
        <f>'伤害统计(理想)'!B24</f>
        <v>48</v>
      </c>
      <c r="C24" s="20">
        <f>'伤害统计(理想)'!C24</f>
        <v>34400</v>
      </c>
      <c r="D24" s="20">
        <f>'伤害统计(理想)'!D24</f>
        <v>45792</v>
      </c>
      <c r="E24" s="20">
        <f>'伤害统计(理想)'!E24</f>
        <v>0.260417</v>
      </c>
      <c r="F24" s="20">
        <f>'伤害统计(理想)'!F24</f>
        <v>1</v>
      </c>
      <c r="G24" s="20">
        <f>'伤害统计(理想)'!G24</f>
        <v>0</v>
      </c>
      <c r="H24" s="20">
        <f>'伤害统计(理想)'!H24</f>
        <v>0</v>
      </c>
      <c r="I24" s="20">
        <f>'伤害统计(理想)'!I24</f>
        <v>0.05</v>
      </c>
      <c r="J24" s="20">
        <f>'伤害统计(理想)'!J24</f>
        <v>0.472</v>
      </c>
      <c r="K24" s="20">
        <f>'伤害统计(理想)'!K24</f>
        <v>0.1181</v>
      </c>
      <c r="L24" s="20">
        <f>'伤害统计(理想)'!L24</f>
        <v>0.177214436704937</v>
      </c>
      <c r="M24" s="20">
        <f>'伤害统计(理想)'!M24</f>
        <v>0.3473</v>
      </c>
      <c r="N24" s="20">
        <f>'伤害统计(理想)'!N24</f>
        <v>0.2</v>
      </c>
      <c r="O24" s="20">
        <f>'伤害统计(理想)'!O24</f>
        <v>0.4994</v>
      </c>
      <c r="P24" s="20">
        <f>'伤害统计(理想)'!P24</f>
        <v>0</v>
      </c>
      <c r="Q24" s="20">
        <f>'伤害统计(理想)'!Q24</f>
        <v>0.4994</v>
      </c>
      <c r="R24" s="20">
        <f>'伤害统计(理想)'!R24</f>
        <v>0.2441</v>
      </c>
      <c r="S24" s="20">
        <f>'伤害统计(理想)'!S24</f>
        <v>0.7435</v>
      </c>
      <c r="T24" s="8">
        <f>T2</f>
        <v>2.096257</v>
      </c>
      <c r="U24" s="20">
        <f>'伤害统计(理想)'!U24</f>
        <v>0</v>
      </c>
      <c r="V24" s="20">
        <f t="shared" si="11"/>
        <v>2.096257</v>
      </c>
      <c r="W24" s="20">
        <f>'伤害统计(理想)'!W24</f>
        <v>0.2441</v>
      </c>
      <c r="X24" s="20">
        <f t="shared" si="12"/>
        <v>2.340357</v>
      </c>
      <c r="Y24" s="20">
        <f>'伤害统计(理想)'!Y24</f>
        <v>0.2441</v>
      </c>
      <c r="Z24" s="20">
        <f t="shared" si="13"/>
        <v>2.340357</v>
      </c>
      <c r="AA24" s="20">
        <f>'伤害统计(理想)'!AA24</f>
        <v>0.1953</v>
      </c>
      <c r="AB24" s="20">
        <f t="shared" si="14"/>
        <v>2.535657</v>
      </c>
      <c r="AC24" s="20">
        <f t="shared" si="0"/>
        <v>16411</v>
      </c>
      <c r="AD24" s="20">
        <f t="shared" si="1"/>
        <v>22550</v>
      </c>
      <c r="AE24" s="20">
        <f t="shared" si="2"/>
        <v>24360</v>
      </c>
      <c r="AF24" s="20">
        <f t="shared" si="3"/>
        <v>34401</v>
      </c>
      <c r="AG24" s="20">
        <f t="shared" si="4"/>
        <v>52775</v>
      </c>
      <c r="AH24" s="20">
        <f t="shared" si="16"/>
        <v>61883</v>
      </c>
      <c r="AI24" s="20">
        <f t="shared" si="5"/>
        <v>19481</v>
      </c>
      <c r="AJ24" s="20">
        <f t="shared" si="6"/>
        <v>45592</v>
      </c>
      <c r="AK24" s="20">
        <f t="shared" si="7"/>
        <v>21043</v>
      </c>
      <c r="AL24" s="20">
        <f t="shared" si="8"/>
        <v>49248</v>
      </c>
      <c r="AM24" s="20">
        <f t="shared" si="9"/>
        <v>57179</v>
      </c>
      <c r="AN24" s="20">
        <f t="shared" si="10"/>
        <v>61768</v>
      </c>
    </row>
    <row r="25" spans="1:40">
      <c r="A25" s="20" t="str">
        <f>'伤害统计(理想)'!A25</f>
        <v>昆吾·弦刃</v>
      </c>
      <c r="B25" s="20">
        <f>'伤害统计(理想)'!B25</f>
        <v>48</v>
      </c>
      <c r="C25" s="20">
        <f>'伤害统计(理想)'!C25</f>
        <v>34400</v>
      </c>
      <c r="D25" s="20">
        <f>'伤害统计(理想)'!D25</f>
        <v>45792</v>
      </c>
      <c r="E25" s="20">
        <f>'伤害统计(理想)'!E25</f>
        <v>0.46875</v>
      </c>
      <c r="F25" s="20">
        <f>'伤害统计(理想)'!F25</f>
        <v>1</v>
      </c>
      <c r="G25" s="20">
        <f>'伤害统计(理想)'!G25</f>
        <v>0</v>
      </c>
      <c r="H25" s="20">
        <f>'伤害统计(理想)'!H25</f>
        <v>0</v>
      </c>
      <c r="I25" s="20">
        <f>'伤害统计(理想)'!I25</f>
        <v>0.05</v>
      </c>
      <c r="J25" s="20">
        <f>'伤害统计(理想)'!J25</f>
        <v>0.472</v>
      </c>
      <c r="K25" s="20">
        <f>'伤害统计(理想)'!K25</f>
        <v>0.1181</v>
      </c>
      <c r="L25" s="20">
        <f>'伤害统计(理想)'!L25</f>
        <v>0.177214436704937</v>
      </c>
      <c r="M25" s="20">
        <f>'伤害统计(理想)'!M25</f>
        <v>0.3473</v>
      </c>
      <c r="N25" s="20">
        <f>'伤害统计(理想)'!N25</f>
        <v>0.2</v>
      </c>
      <c r="O25" s="20">
        <f>'伤害统计(理想)'!O25</f>
        <v>0.4994</v>
      </c>
      <c r="P25" s="20">
        <f>'伤害统计(理想)'!P25</f>
        <v>0</v>
      </c>
      <c r="Q25" s="20">
        <f>'伤害统计(理想)'!Q25</f>
        <v>0.4994</v>
      </c>
      <c r="R25" s="20">
        <f>'伤害统计(理想)'!R25</f>
        <v>0.2441</v>
      </c>
      <c r="S25" s="20">
        <f>'伤害统计(理想)'!S25</f>
        <v>0.7435</v>
      </c>
      <c r="T25" s="8">
        <f>T2</f>
        <v>2.096257</v>
      </c>
      <c r="U25" s="20">
        <f>'伤害统计(理想)'!U25</f>
        <v>0</v>
      </c>
      <c r="V25" s="20">
        <f t="shared" si="11"/>
        <v>2.096257</v>
      </c>
      <c r="W25" s="20">
        <f>'伤害统计(理想)'!W25</f>
        <v>0.2441</v>
      </c>
      <c r="X25" s="20">
        <f t="shared" si="12"/>
        <v>2.340357</v>
      </c>
      <c r="Y25" s="20">
        <f>'伤害统计(理想)'!Y25</f>
        <v>0.2441</v>
      </c>
      <c r="Z25" s="20">
        <f t="shared" si="13"/>
        <v>2.340357</v>
      </c>
      <c r="AA25" s="20">
        <f>'伤害统计(理想)'!AA25</f>
        <v>0.1953</v>
      </c>
      <c r="AB25" s="20">
        <f t="shared" si="14"/>
        <v>2.535657</v>
      </c>
      <c r="AC25" s="20">
        <f t="shared" si="0"/>
        <v>29487</v>
      </c>
      <c r="AD25" s="20">
        <f t="shared" si="1"/>
        <v>40538</v>
      </c>
      <c r="AE25" s="20">
        <f t="shared" si="2"/>
        <v>43791</v>
      </c>
      <c r="AF25" s="20">
        <f t="shared" si="3"/>
        <v>61812</v>
      </c>
      <c r="AG25" s="20">
        <f t="shared" si="4"/>
        <v>94873</v>
      </c>
      <c r="AH25" s="20">
        <f t="shared" si="16"/>
        <v>111244</v>
      </c>
      <c r="AI25" s="20">
        <f t="shared" si="5"/>
        <v>35013</v>
      </c>
      <c r="AJ25" s="20">
        <f t="shared" si="6"/>
        <v>81942</v>
      </c>
      <c r="AK25" s="20">
        <f t="shared" si="7"/>
        <v>37822</v>
      </c>
      <c r="AL25" s="20">
        <f t="shared" si="8"/>
        <v>88516</v>
      </c>
      <c r="AM25" s="20">
        <f t="shared" si="9"/>
        <v>102790</v>
      </c>
      <c r="AN25" s="20">
        <f t="shared" si="10"/>
        <v>111038</v>
      </c>
    </row>
    <row r="26" spans="1:40">
      <c r="A26" s="20" t="str">
        <f>'伤害统计(理想)'!A26</f>
        <v>腾空·三才</v>
      </c>
      <c r="B26" s="20">
        <f>'伤害统计(理想)'!B26</f>
        <v>550865</v>
      </c>
      <c r="C26" s="20">
        <f>'伤害统计(理想)'!C26</f>
        <v>34400</v>
      </c>
      <c r="D26" s="20">
        <f>'伤害统计(理想)'!D26</f>
        <v>0</v>
      </c>
      <c r="E26" s="20">
        <f>'伤害统计(理想)'!E26</f>
        <v>1</v>
      </c>
      <c r="F26" s="20">
        <f>'伤害统计(理想)'!F26</f>
        <v>1</v>
      </c>
      <c r="G26" s="20">
        <f>'伤害统计(理想)'!G26</f>
        <v>0</v>
      </c>
      <c r="H26" s="20">
        <f>'伤害统计(理想)'!H26</f>
        <v>0</v>
      </c>
      <c r="I26" s="20">
        <f>'伤害统计(理想)'!I26</f>
        <v>0.05</v>
      </c>
      <c r="J26" s="20">
        <f>'伤害统计(理想)'!J26</f>
        <v>0.472</v>
      </c>
      <c r="K26" s="20">
        <f>'伤害统计(理想)'!K26</f>
        <v>0.1181</v>
      </c>
      <c r="L26" s="20">
        <f>'伤害统计(理想)'!L26</f>
        <v>0.177214436704937</v>
      </c>
      <c r="M26" s="20">
        <f>'伤害统计(理想)'!M26</f>
        <v>0.3473</v>
      </c>
      <c r="N26" s="20">
        <f>'伤害统计(理想)'!N26</f>
        <v>0.2</v>
      </c>
      <c r="O26" s="20">
        <f>'伤害统计(理想)'!O26</f>
        <v>0.4994</v>
      </c>
      <c r="P26" s="20">
        <f>'伤害统计(理想)'!P26</f>
        <v>0</v>
      </c>
      <c r="Q26" s="20">
        <f>'伤害统计(理想)'!Q26</f>
        <v>0.4994</v>
      </c>
      <c r="R26" s="20">
        <f>'伤害统计(理想)'!R26</f>
        <v>0.2441</v>
      </c>
      <c r="S26" s="20">
        <f>'伤害统计(理想)'!S26</f>
        <v>0.7435</v>
      </c>
      <c r="T26" s="8">
        <f>T2</f>
        <v>2.096257</v>
      </c>
      <c r="U26" s="20">
        <f>'伤害统计(理想)'!U26</f>
        <v>0</v>
      </c>
      <c r="V26" s="20">
        <f t="shared" si="11"/>
        <v>2.096257</v>
      </c>
      <c r="W26" s="20">
        <f>'伤害统计(理想)'!W26</f>
        <v>0.2441</v>
      </c>
      <c r="X26" s="20">
        <f t="shared" si="12"/>
        <v>2.340357</v>
      </c>
      <c r="Y26" s="20">
        <f>'伤害统计(理想)'!Y26</f>
        <v>0.2441</v>
      </c>
      <c r="Z26" s="20">
        <f t="shared" si="13"/>
        <v>2.340357</v>
      </c>
      <c r="AA26" s="20">
        <f>'伤害统计(理想)'!AA26</f>
        <v>0.1953</v>
      </c>
      <c r="AB26" s="20">
        <f t="shared" si="14"/>
        <v>2.535657</v>
      </c>
      <c r="AC26" s="20">
        <f t="shared" si="0"/>
        <v>755063</v>
      </c>
      <c r="AD26" s="20">
        <f t="shared" si="1"/>
        <v>778638</v>
      </c>
      <c r="AE26" s="20">
        <f t="shared" si="2"/>
        <v>841109</v>
      </c>
      <c r="AF26" s="20">
        <f t="shared" si="3"/>
        <v>1582806</v>
      </c>
      <c r="AG26" s="20">
        <f t="shared" si="4"/>
        <v>1822290</v>
      </c>
      <c r="AH26" s="20">
        <f t="shared" si="16"/>
        <v>2136717</v>
      </c>
      <c r="AI26" s="20">
        <f t="shared" si="5"/>
        <v>766851</v>
      </c>
      <c r="AJ26" s="20">
        <f t="shared" si="6"/>
        <v>1794705</v>
      </c>
      <c r="AK26" s="20">
        <f t="shared" si="7"/>
        <v>828376</v>
      </c>
      <c r="AL26" s="20">
        <f t="shared" si="8"/>
        <v>1938695</v>
      </c>
      <c r="AM26" s="20">
        <f t="shared" si="9"/>
        <v>1974358</v>
      </c>
      <c r="AN26" s="20">
        <f t="shared" si="10"/>
        <v>2132763</v>
      </c>
    </row>
    <row r="27" spans="1:40">
      <c r="A27" s="20" t="str">
        <f>'伤害统计(理想)'!A27</f>
        <v>腾空·凭虚</v>
      </c>
      <c r="B27" s="20">
        <f>'伤害统计(理想)'!B27</f>
        <v>568199</v>
      </c>
      <c r="C27" s="20">
        <f>'伤害统计(理想)'!C27</f>
        <v>34400</v>
      </c>
      <c r="D27" s="20">
        <f>'伤害统计(理想)'!D27</f>
        <v>0</v>
      </c>
      <c r="E27" s="20">
        <f>'伤害统计(理想)'!E27</f>
        <v>1</v>
      </c>
      <c r="F27" s="20">
        <f>'伤害统计(理想)'!F27</f>
        <v>1</v>
      </c>
      <c r="G27" s="20">
        <f>'伤害统计(理想)'!G27</f>
        <v>0</v>
      </c>
      <c r="H27" s="20">
        <f>'伤害统计(理想)'!H27</f>
        <v>0</v>
      </c>
      <c r="I27" s="20">
        <f>'伤害统计(理想)'!I27</f>
        <v>0.05</v>
      </c>
      <c r="J27" s="20">
        <f>'伤害统计(理想)'!J27</f>
        <v>0.472</v>
      </c>
      <c r="K27" s="20">
        <f>'伤害统计(理想)'!K27</f>
        <v>0.1181</v>
      </c>
      <c r="L27" s="20">
        <f>'伤害统计(理想)'!L27</f>
        <v>0.177214436704937</v>
      </c>
      <c r="M27" s="20">
        <f>'伤害统计(理想)'!M27</f>
        <v>0.3473</v>
      </c>
      <c r="N27" s="20">
        <f>'伤害统计(理想)'!N27</f>
        <v>0.2</v>
      </c>
      <c r="O27" s="20">
        <f>'伤害统计(理想)'!O27</f>
        <v>1</v>
      </c>
      <c r="P27" s="20">
        <f>'伤害统计(理想)'!P27</f>
        <v>0</v>
      </c>
      <c r="Q27" s="20">
        <f>'伤害统计(理想)'!Q27</f>
        <v>1</v>
      </c>
      <c r="R27" s="20">
        <f>'伤害统计(理想)'!R27</f>
        <v>0.2441</v>
      </c>
      <c r="S27" s="20">
        <f>'伤害统计(理想)'!S27</f>
        <v>1</v>
      </c>
      <c r="T27" s="8">
        <f>T2</f>
        <v>2.096257</v>
      </c>
      <c r="U27" s="20">
        <f>'伤害统计(理想)'!U27</f>
        <v>0</v>
      </c>
      <c r="V27" s="20">
        <f t="shared" si="11"/>
        <v>2.096257</v>
      </c>
      <c r="W27" s="20">
        <f>'伤害统计(理想)'!W27</f>
        <v>0.2441</v>
      </c>
      <c r="X27" s="20">
        <f t="shared" si="12"/>
        <v>2.340357</v>
      </c>
      <c r="Y27" s="20">
        <f>'伤害统计(理想)'!Y27</f>
        <v>0.2441</v>
      </c>
      <c r="Z27" s="20">
        <f t="shared" si="13"/>
        <v>2.340357</v>
      </c>
      <c r="AA27" s="20">
        <f>'伤害统计(理想)'!AA27</f>
        <v>0.1953</v>
      </c>
      <c r="AB27" s="20">
        <f t="shared" si="14"/>
        <v>2.535657</v>
      </c>
      <c r="AC27" s="20">
        <f t="shared" si="0"/>
        <v>778822</v>
      </c>
      <c r="AD27" s="20">
        <f t="shared" si="1"/>
        <v>802398</v>
      </c>
      <c r="AE27" s="20">
        <f t="shared" si="2"/>
        <v>866775</v>
      </c>
      <c r="AF27" s="20">
        <f t="shared" si="3"/>
        <v>1632611</v>
      </c>
      <c r="AG27" s="20">
        <f t="shared" si="4"/>
        <v>1877897</v>
      </c>
      <c r="AH27" s="20">
        <f t="shared" si="16"/>
        <v>2201917</v>
      </c>
      <c r="AI27" s="20">
        <f t="shared" si="5"/>
        <v>790610</v>
      </c>
      <c r="AJ27" s="20">
        <f t="shared" si="6"/>
        <v>1850309</v>
      </c>
      <c r="AK27" s="20">
        <f t="shared" si="7"/>
        <v>854041</v>
      </c>
      <c r="AL27" s="20">
        <f t="shared" si="8"/>
        <v>1998760</v>
      </c>
      <c r="AM27" s="20">
        <f t="shared" si="9"/>
        <v>2034606</v>
      </c>
      <c r="AN27" s="20">
        <f t="shared" si="10"/>
        <v>2197844</v>
      </c>
    </row>
    <row r="28" spans="1:40">
      <c r="A28" s="20" t="str">
        <f>'伤害统计(理想)'!A28</f>
        <v>腾空·凭虚·定</v>
      </c>
      <c r="B28" s="20">
        <f>'伤害统计(理想)'!B28</f>
        <v>141299</v>
      </c>
      <c r="C28" s="20">
        <f>'伤害统计(理想)'!C28</f>
        <v>34400</v>
      </c>
      <c r="D28" s="20">
        <f>'伤害统计(理想)'!D28</f>
        <v>0</v>
      </c>
      <c r="E28" s="20">
        <f>'伤害统计(理想)'!E28</f>
        <v>1</v>
      </c>
      <c r="F28" s="20">
        <f>'伤害统计(理想)'!F28</f>
        <v>1</v>
      </c>
      <c r="G28" s="20">
        <f>'伤害统计(理想)'!G28</f>
        <v>0</v>
      </c>
      <c r="H28" s="20">
        <f>'伤害统计(理想)'!H28</f>
        <v>0</v>
      </c>
      <c r="I28" s="20">
        <f>'伤害统计(理想)'!I28</f>
        <v>0.05</v>
      </c>
      <c r="J28" s="20">
        <f>'伤害统计(理想)'!J28</f>
        <v>0.472</v>
      </c>
      <c r="K28" s="20">
        <f>'伤害统计(理想)'!K28</f>
        <v>0.1181</v>
      </c>
      <c r="L28" s="20">
        <f>'伤害统计(理想)'!L28</f>
        <v>0.177214436704937</v>
      </c>
      <c r="M28" s="20">
        <f>'伤害统计(理想)'!M28</f>
        <v>0.3473</v>
      </c>
      <c r="N28" s="20">
        <f>'伤害统计(理想)'!N28</f>
        <v>0.2</v>
      </c>
      <c r="O28" s="20">
        <f>'伤害统计(理想)'!O28</f>
        <v>0.4994</v>
      </c>
      <c r="P28" s="20">
        <f>'伤害统计(理想)'!P28</f>
        <v>0</v>
      </c>
      <c r="Q28" s="20">
        <f>'伤害统计(理想)'!Q28</f>
        <v>0.4994</v>
      </c>
      <c r="R28" s="20">
        <f>'伤害统计(理想)'!R28</f>
        <v>0.2441</v>
      </c>
      <c r="S28" s="20">
        <f>'伤害统计(理想)'!S28</f>
        <v>0.7435</v>
      </c>
      <c r="T28" s="8">
        <f>T2</f>
        <v>2.096257</v>
      </c>
      <c r="U28" s="20">
        <f>'伤害统计(理想)'!U28</f>
        <v>0</v>
      </c>
      <c r="V28" s="20">
        <f t="shared" si="11"/>
        <v>2.096257</v>
      </c>
      <c r="W28" s="20">
        <f>'伤害统计(理想)'!W28</f>
        <v>0.2441</v>
      </c>
      <c r="X28" s="20">
        <f t="shared" si="12"/>
        <v>2.340357</v>
      </c>
      <c r="Y28" s="20">
        <f>'伤害统计(理想)'!Y28</f>
        <v>0.2441</v>
      </c>
      <c r="Z28" s="20">
        <f t="shared" si="13"/>
        <v>2.340357</v>
      </c>
      <c r="AA28" s="20">
        <f>'伤害统计(理想)'!AA28</f>
        <v>0.1953</v>
      </c>
      <c r="AB28" s="20">
        <f t="shared" si="14"/>
        <v>2.535657</v>
      </c>
      <c r="AC28" s="20">
        <f t="shared" si="0"/>
        <v>193676</v>
      </c>
      <c r="AD28" s="20">
        <f t="shared" si="1"/>
        <v>217252</v>
      </c>
      <c r="AE28" s="20">
        <f t="shared" si="2"/>
        <v>234682</v>
      </c>
      <c r="AF28" s="20">
        <f t="shared" si="3"/>
        <v>405994</v>
      </c>
      <c r="AG28" s="20">
        <f t="shared" si="4"/>
        <v>508447</v>
      </c>
      <c r="AH28" s="20">
        <f t="shared" si="16"/>
        <v>596176</v>
      </c>
      <c r="AI28" s="20">
        <f t="shared" si="5"/>
        <v>205464</v>
      </c>
      <c r="AJ28" s="20">
        <f t="shared" si="6"/>
        <v>480859</v>
      </c>
      <c r="AK28" s="20">
        <f t="shared" si="7"/>
        <v>221949</v>
      </c>
      <c r="AL28" s="20">
        <f t="shared" si="8"/>
        <v>519439</v>
      </c>
      <c r="AM28" s="20">
        <f t="shared" si="9"/>
        <v>550876</v>
      </c>
      <c r="AN28" s="20">
        <f t="shared" si="10"/>
        <v>595073</v>
      </c>
    </row>
    <row r="29" spans="1:40">
      <c r="A29" s="20" t="str">
        <f>'伤害统计(理想)'!A29</f>
        <v>气竭(DOT)</v>
      </c>
      <c r="B29" s="20">
        <f>'伤害统计(理想)'!B29</f>
        <v>50</v>
      </c>
      <c r="C29" s="20">
        <f>'伤害统计(理想)'!C29</f>
        <v>34400</v>
      </c>
      <c r="D29" s="20">
        <f>'伤害统计(理想)'!D29</f>
        <v>45792</v>
      </c>
      <c r="E29" s="20">
        <f>'伤害统计(理想)'!E29</f>
        <v>0.5078125</v>
      </c>
      <c r="F29" s="20">
        <f>'伤害统计(理想)'!F29</f>
        <v>1</v>
      </c>
      <c r="G29" s="20">
        <f>'伤害统计(理想)'!G29</f>
        <v>0</v>
      </c>
      <c r="H29" s="20">
        <f>'伤害统计(理想)'!H29</f>
        <v>0</v>
      </c>
      <c r="I29" s="20">
        <f>'伤害统计(理想)'!I29</f>
        <v>0.05</v>
      </c>
      <c r="J29" s="20">
        <f>'伤害统计(理想)'!J29</f>
        <v>0.472</v>
      </c>
      <c r="K29" s="20">
        <f>'伤害统计(理想)'!K29</f>
        <v>0.1181</v>
      </c>
      <c r="L29" s="20">
        <f>'伤害统计(理想)'!L29</f>
        <v>0.177214436704937</v>
      </c>
      <c r="M29" s="20">
        <f>'伤害统计(理想)'!M29</f>
        <v>0.3473</v>
      </c>
      <c r="N29" s="20">
        <f>'伤害统计(理想)'!N29</f>
        <v>0.2</v>
      </c>
      <c r="O29" s="20">
        <f>'伤害统计(理想)'!O29</f>
        <v>0.4994</v>
      </c>
      <c r="P29" s="20">
        <f>'伤害统计(理想)'!P29</f>
        <v>0</v>
      </c>
      <c r="Q29" s="20">
        <f>'伤害统计(理想)'!Q29</f>
        <v>0.4994</v>
      </c>
      <c r="R29" s="20">
        <f>'伤害统计(理想)'!R29</f>
        <v>0.2441</v>
      </c>
      <c r="S29" s="20">
        <f>'伤害统计(理想)'!S29</f>
        <v>0.7435</v>
      </c>
      <c r="T29" s="8">
        <f>T2</f>
        <v>2.096257</v>
      </c>
      <c r="U29" s="20">
        <f>'伤害统计(理想)'!U29</f>
        <v>0</v>
      </c>
      <c r="V29" s="20">
        <f t="shared" si="11"/>
        <v>2.096257</v>
      </c>
      <c r="W29" s="20">
        <f>'伤害统计(理想)'!W29</f>
        <v>0.2441</v>
      </c>
      <c r="X29" s="20">
        <f t="shared" si="12"/>
        <v>2.340357</v>
      </c>
      <c r="Y29" s="20">
        <f>'伤害统计(理想)'!Y29</f>
        <v>0.2441</v>
      </c>
      <c r="Z29" s="20">
        <f t="shared" si="13"/>
        <v>2.340357</v>
      </c>
      <c r="AA29" s="20">
        <f>'伤害统计(理想)'!AA29</f>
        <v>0.1953</v>
      </c>
      <c r="AB29" s="20">
        <f t="shared" si="14"/>
        <v>2.535657</v>
      </c>
      <c r="AC29" s="20">
        <f t="shared" si="0"/>
        <v>31941</v>
      </c>
      <c r="AD29" s="20">
        <f t="shared" si="1"/>
        <v>43914</v>
      </c>
      <c r="AE29" s="20">
        <f t="shared" si="2"/>
        <v>47437</v>
      </c>
      <c r="AF29" s="20">
        <f t="shared" si="3"/>
        <v>66956</v>
      </c>
      <c r="AG29" s="20">
        <f t="shared" si="4"/>
        <v>102774</v>
      </c>
      <c r="AH29" s="20">
        <f t="shared" si="16"/>
        <v>120506</v>
      </c>
      <c r="AI29" s="20">
        <f t="shared" si="5"/>
        <v>37928</v>
      </c>
      <c r="AJ29" s="20">
        <f t="shared" si="6"/>
        <v>88765</v>
      </c>
      <c r="AK29" s="20">
        <f t="shared" si="7"/>
        <v>40971</v>
      </c>
      <c r="AL29" s="20">
        <f t="shared" si="8"/>
        <v>95886</v>
      </c>
      <c r="AM29" s="20">
        <f t="shared" si="9"/>
        <v>111350</v>
      </c>
      <c r="AN29" s="20">
        <f t="shared" si="10"/>
        <v>120283</v>
      </c>
    </row>
    <row r="30" spans="1:40">
      <c r="A30" s="20" t="str">
        <f>'伤害统计(理想)'!A30</f>
        <v>星辰</v>
      </c>
      <c r="B30" s="20">
        <f>'伤害统计(理想)'!B30</f>
        <v>1038</v>
      </c>
      <c r="C30" s="20">
        <f>'伤害统计(理想)'!C30</f>
        <v>34400</v>
      </c>
      <c r="D30" s="20">
        <f>'伤害统计(理想)'!D30</f>
        <v>45792</v>
      </c>
      <c r="E30" s="20">
        <f>'伤害统计(理想)'!E30</f>
        <v>0.99609375</v>
      </c>
      <c r="F30" s="20">
        <f>'伤害统计(理想)'!F30</f>
        <v>1</v>
      </c>
      <c r="G30" s="20">
        <f>'伤害统计(理想)'!G30</f>
        <v>0</v>
      </c>
      <c r="H30" s="20">
        <f>'伤害统计(理想)'!H30</f>
        <v>0</v>
      </c>
      <c r="I30" s="20">
        <f>'伤害统计(理想)'!I30</f>
        <v>0.05</v>
      </c>
      <c r="J30" s="20">
        <f>'伤害统计(理想)'!J30</f>
        <v>0.472</v>
      </c>
      <c r="K30" s="20">
        <f>'伤害统计(理想)'!K30</f>
        <v>0.1181</v>
      </c>
      <c r="L30" s="20">
        <f>'伤害统计(理想)'!L30</f>
        <v>0.177214436704937</v>
      </c>
      <c r="M30" s="20">
        <f>'伤害统计(理想)'!M30</f>
        <v>0.3473</v>
      </c>
      <c r="N30" s="20">
        <f>'伤害统计(理想)'!N30</f>
        <v>0.2</v>
      </c>
      <c r="O30" s="20">
        <f>'伤害统计(理想)'!O30</f>
        <v>0.4994</v>
      </c>
      <c r="P30" s="20">
        <f>'伤害统计(理想)'!P30</f>
        <v>0</v>
      </c>
      <c r="Q30" s="20">
        <f>'伤害统计(理想)'!Q30</f>
        <v>0.4994</v>
      </c>
      <c r="R30" s="20">
        <f>'伤害统计(理想)'!R30</f>
        <v>0.2441</v>
      </c>
      <c r="S30" s="20">
        <f>'伤害统计(理想)'!S30</f>
        <v>0.7435</v>
      </c>
      <c r="T30" s="8">
        <f>T2</f>
        <v>2.096257</v>
      </c>
      <c r="U30" s="20">
        <f>'伤害统计(理想)'!U30</f>
        <v>0</v>
      </c>
      <c r="V30" s="20">
        <f t="shared" si="11"/>
        <v>2.096257</v>
      </c>
      <c r="W30" s="20">
        <f>'伤害统计(理想)'!W30</f>
        <v>0.2441</v>
      </c>
      <c r="X30" s="20">
        <f t="shared" si="12"/>
        <v>2.340357</v>
      </c>
      <c r="Y30" s="20">
        <f>'伤害统计(理想)'!Y30</f>
        <v>0.2441</v>
      </c>
      <c r="Z30" s="20">
        <f t="shared" si="13"/>
        <v>2.340357</v>
      </c>
      <c r="AA30" s="20">
        <f>'伤害统计(理想)'!AA30</f>
        <v>0.1953</v>
      </c>
      <c r="AB30" s="20">
        <f t="shared" si="14"/>
        <v>2.535657</v>
      </c>
      <c r="AC30" s="20">
        <f t="shared" si="0"/>
        <v>63943</v>
      </c>
      <c r="AD30" s="20">
        <f t="shared" si="1"/>
        <v>87427</v>
      </c>
      <c r="AE30" s="20">
        <f t="shared" si="2"/>
        <v>94442</v>
      </c>
      <c r="AF30" s="20">
        <f t="shared" si="3"/>
        <v>134040</v>
      </c>
      <c r="AG30" s="20">
        <f t="shared" si="4"/>
        <v>204610</v>
      </c>
      <c r="AH30" s="20">
        <f t="shared" si="16"/>
        <v>239916</v>
      </c>
      <c r="AI30" s="20">
        <f t="shared" si="5"/>
        <v>75685</v>
      </c>
      <c r="AJ30" s="20">
        <f t="shared" si="6"/>
        <v>177129</v>
      </c>
      <c r="AK30" s="20">
        <f t="shared" si="7"/>
        <v>81758</v>
      </c>
      <c r="AL30" s="20">
        <f t="shared" si="8"/>
        <v>191342</v>
      </c>
      <c r="AM30" s="20">
        <f t="shared" si="9"/>
        <v>221684</v>
      </c>
      <c r="AN30" s="20">
        <f t="shared" si="10"/>
        <v>239472</v>
      </c>
    </row>
    <row r="31" spans="1:40">
      <c r="A31" s="20" t="str">
        <f>'伤害统计(理想)'!A31</f>
        <v>四象轮回·神兵</v>
      </c>
      <c r="B31" s="20">
        <f>'伤害统计(理想)'!B31</f>
        <v>21</v>
      </c>
      <c r="C31" s="20">
        <f>'伤害统计(理想)'!C31</f>
        <v>34400</v>
      </c>
      <c r="D31" s="20">
        <f>'伤害统计(理想)'!D31</f>
        <v>45792</v>
      </c>
      <c r="E31" s="20">
        <f>'伤害统计(理想)'!E31</f>
        <v>0.338541666666667</v>
      </c>
      <c r="F31" s="20">
        <f>'伤害统计(理想)'!F31</f>
        <v>1</v>
      </c>
      <c r="G31" s="20">
        <f>'伤害统计(理想)'!G31</f>
        <v>0</v>
      </c>
      <c r="H31" s="20">
        <f>'伤害统计(理想)'!H31</f>
        <v>0</v>
      </c>
      <c r="I31" s="20">
        <f>'伤害统计(理想)'!I31</f>
        <v>0.05</v>
      </c>
      <c r="J31" s="20">
        <f>'伤害统计(理想)'!J31</f>
        <v>0.472</v>
      </c>
      <c r="K31" s="20">
        <f>'伤害统计(理想)'!K31</f>
        <v>0.1181</v>
      </c>
      <c r="L31" s="20">
        <f>'伤害统计(理想)'!L31</f>
        <v>0.177214436704937</v>
      </c>
      <c r="M31" s="20">
        <f>'伤害统计(理想)'!M31</f>
        <v>0.3473</v>
      </c>
      <c r="N31" s="20">
        <f>'伤害统计(理想)'!N31</f>
        <v>0.2</v>
      </c>
      <c r="O31" s="20">
        <f>'伤害统计(理想)'!O31</f>
        <v>0.4994</v>
      </c>
      <c r="P31" s="20">
        <f>'伤害统计(理想)'!P31</f>
        <v>0</v>
      </c>
      <c r="Q31" s="20">
        <f>'伤害统计(理想)'!Q31</f>
        <v>0.4994</v>
      </c>
      <c r="R31" s="20">
        <f>'伤害统计(理想)'!R31</f>
        <v>0.2441</v>
      </c>
      <c r="S31" s="20">
        <f>'伤害统计(理想)'!S31</f>
        <v>0.7435</v>
      </c>
      <c r="T31" s="8">
        <f>T2</f>
        <v>2.096257</v>
      </c>
      <c r="U31" s="20">
        <f>'伤害统计(理想)'!U31</f>
        <v>0</v>
      </c>
      <c r="V31" s="20">
        <f>'伤害统计(理想)'!V31</f>
        <v>2.0895</v>
      </c>
      <c r="W31" s="20">
        <f>'伤害统计(理想)'!W31</f>
        <v>0.2441</v>
      </c>
      <c r="X31" s="20">
        <f>'伤害统计(理想)'!X31</f>
        <v>2.3336</v>
      </c>
      <c r="Y31" s="20">
        <f>'伤害统计(理想)'!Y31</f>
        <v>0.2441</v>
      </c>
      <c r="Z31" s="20">
        <f>'伤害统计(理想)'!Z31</f>
        <v>2.3336</v>
      </c>
      <c r="AA31" s="20">
        <f>'伤害统计(理想)'!AA31</f>
        <v>0.1953</v>
      </c>
      <c r="AB31" s="20">
        <f>'伤害统计(理想)'!AB31</f>
        <v>2.5289</v>
      </c>
      <c r="AC31" s="20">
        <f t="shared" si="0"/>
        <v>21277</v>
      </c>
      <c r="AD31" s="20">
        <f t="shared" si="1"/>
        <v>29259</v>
      </c>
      <c r="AE31" s="20">
        <f t="shared" si="2"/>
        <v>31606</v>
      </c>
      <c r="AF31" s="20">
        <f t="shared" si="3"/>
        <v>44458</v>
      </c>
      <c r="AG31" s="20">
        <f t="shared" si="4"/>
        <v>68278</v>
      </c>
      <c r="AH31" s="20">
        <f t="shared" si="16"/>
        <v>80290</v>
      </c>
      <c r="AI31" s="20">
        <f t="shared" si="5"/>
        <v>25268</v>
      </c>
      <c r="AJ31" s="20">
        <f t="shared" si="6"/>
        <v>58965</v>
      </c>
      <c r="AK31" s="20">
        <f t="shared" si="7"/>
        <v>27295</v>
      </c>
      <c r="AL31" s="20">
        <f t="shared" si="8"/>
        <v>63695</v>
      </c>
      <c r="AM31" s="20">
        <f t="shared" si="9"/>
        <v>73993</v>
      </c>
      <c r="AN31" s="20">
        <f t="shared" si="10"/>
        <v>79928</v>
      </c>
    </row>
    <row r="32" spans="1:40">
      <c r="A32" s="20" t="str">
        <f>'伤害统计(理想)'!A32</f>
        <v>太极无极(若冲)</v>
      </c>
      <c r="B32" s="20">
        <f>'伤害统计(理想)'!B32</f>
        <v>53</v>
      </c>
      <c r="C32" s="20">
        <f>'伤害统计(理想)'!C32</f>
        <v>99</v>
      </c>
      <c r="D32" s="20">
        <f>'伤害统计(理想)'!D32</f>
        <v>45792</v>
      </c>
      <c r="E32" s="20">
        <f>'伤害统计(理想)'!E32</f>
        <v>0.5</v>
      </c>
      <c r="F32" s="20">
        <f>'伤害统计(理想)'!F32</f>
        <v>1</v>
      </c>
      <c r="G32" s="20">
        <f>'伤害统计(理想)'!G32</f>
        <v>0.5</v>
      </c>
      <c r="H32" s="20">
        <f>'伤害统计(理想)'!H32</f>
        <v>0.3</v>
      </c>
      <c r="I32" s="20">
        <f>'伤害统计(理想)'!I32</f>
        <v>0.05</v>
      </c>
      <c r="J32" s="20">
        <f>'伤害统计(理想)'!J32</f>
        <v>0.472</v>
      </c>
      <c r="K32" s="20">
        <f>'伤害统计(理想)'!K32</f>
        <v>0.1181</v>
      </c>
      <c r="L32" s="20">
        <f>'伤害统计(理想)'!L32</f>
        <v>0.177214436704937</v>
      </c>
      <c r="M32" s="20">
        <f>'伤害统计(理想)'!M32</f>
        <v>0.3473</v>
      </c>
      <c r="N32" s="20">
        <f>'伤害统计(理想)'!N32</f>
        <v>0.2</v>
      </c>
      <c r="O32" s="20">
        <f>'伤害统计(理想)'!O32</f>
        <v>0.4994</v>
      </c>
      <c r="P32" s="20">
        <f>'伤害统计(理想)'!P32</f>
        <v>0</v>
      </c>
      <c r="Q32" s="20">
        <f>'伤害统计(理想)'!Q32</f>
        <v>0.4994</v>
      </c>
      <c r="R32" s="20">
        <f>'伤害统计(理想)'!R32</f>
        <v>0.2441</v>
      </c>
      <c r="S32" s="20">
        <f>'伤害统计(理想)'!S32</f>
        <v>0.7435</v>
      </c>
      <c r="T32" s="8">
        <f>T2</f>
        <v>2.096257</v>
      </c>
      <c r="U32" s="20">
        <f>'伤害统计(理想)'!U32</f>
        <v>0</v>
      </c>
      <c r="V32" s="20">
        <f>'伤害统计(理想)'!V32</f>
        <v>2.0895</v>
      </c>
      <c r="W32" s="20">
        <f>'伤害统计(理想)'!W32</f>
        <v>0.2441</v>
      </c>
      <c r="X32" s="20">
        <f>'伤害统计(理想)'!X32</f>
        <v>2.3336</v>
      </c>
      <c r="Y32" s="20">
        <f>'伤害统计(理想)'!Y32</f>
        <v>0.2441</v>
      </c>
      <c r="Z32" s="20">
        <f>'伤害统计(理想)'!Z32</f>
        <v>2.3336</v>
      </c>
      <c r="AA32" s="20">
        <f>'伤害统计(理想)'!AA32</f>
        <v>0.1953</v>
      </c>
      <c r="AB32" s="20">
        <f>'伤害统计(理想)'!AB32</f>
        <v>2.5289</v>
      </c>
      <c r="AC32" s="20">
        <f t="shared" si="0"/>
        <v>56620</v>
      </c>
      <c r="AD32" s="20">
        <f t="shared" si="1"/>
        <v>56681</v>
      </c>
      <c r="AE32" s="20">
        <f t="shared" si="2"/>
        <v>61229</v>
      </c>
      <c r="AF32" s="20">
        <f t="shared" si="3"/>
        <v>118307</v>
      </c>
      <c r="AG32" s="20">
        <f t="shared" si="4"/>
        <v>132270</v>
      </c>
      <c r="AH32" s="20">
        <f t="shared" si="16"/>
        <v>155543</v>
      </c>
      <c r="AI32" s="20">
        <f t="shared" si="5"/>
        <v>56651</v>
      </c>
      <c r="AJ32" s="20">
        <f t="shared" si="6"/>
        <v>132200</v>
      </c>
      <c r="AK32" s="20">
        <f t="shared" si="7"/>
        <v>61196</v>
      </c>
      <c r="AL32" s="20">
        <f t="shared" si="8"/>
        <v>142806</v>
      </c>
      <c r="AM32" s="20">
        <f t="shared" si="9"/>
        <v>143340</v>
      </c>
      <c r="AN32" s="20">
        <f t="shared" si="10"/>
        <v>154842</v>
      </c>
    </row>
    <row r="33" spans="1:29">
      <c r="A33" s="20">
        <f>'伤害统计(理想)'!A33</f>
        <v>0</v>
      </c>
      <c r="B33" s="20">
        <f>'伤害统计(理想)'!B33</f>
        <v>0</v>
      </c>
      <c r="C33" s="20">
        <f>'伤害统计(理想)'!C33</f>
        <v>0</v>
      </c>
      <c r="D33" s="20">
        <f>'伤害统计(理想)'!D33</f>
        <v>0</v>
      </c>
      <c r="E33" s="20">
        <f>'伤害统计(理想)'!E33</f>
        <v>0</v>
      </c>
      <c r="F33" s="20">
        <f>'伤害统计(理想)'!F33</f>
        <v>0</v>
      </c>
      <c r="G33" s="20">
        <f>'伤害统计(理想)'!G33</f>
        <v>0</v>
      </c>
      <c r="H33" s="20">
        <f>'伤害统计(理想)'!H33</f>
        <v>0</v>
      </c>
      <c r="I33" s="20">
        <f>'伤害统计(理想)'!I33</f>
        <v>0</v>
      </c>
      <c r="J33" s="20">
        <f>'伤害统计(理想)'!J33</f>
        <v>0</v>
      </c>
      <c r="K33" s="20">
        <f>'伤害统计(理想)'!K33</f>
        <v>0</v>
      </c>
      <c r="L33" s="20">
        <f>'伤害统计(理想)'!L33</f>
        <v>0</v>
      </c>
      <c r="M33" s="20">
        <f>'伤害统计(理想)'!M33</f>
        <v>0</v>
      </c>
      <c r="N33" s="20">
        <f>'伤害统计(理想)'!N33</f>
        <v>0</v>
      </c>
      <c r="O33" s="20">
        <f>'伤害统计(理想)'!O33</f>
        <v>0</v>
      </c>
      <c r="P33" s="20">
        <f>'伤害统计(理想)'!P33</f>
        <v>0</v>
      </c>
      <c r="Q33" s="20">
        <f>'伤害统计(理想)'!Q33</f>
        <v>0</v>
      </c>
      <c r="R33" s="20">
        <f>'伤害统计(理想)'!R33</f>
        <v>0</v>
      </c>
      <c r="S33" s="20">
        <f>'伤害统计(理想)'!S33</f>
        <v>0</v>
      </c>
      <c r="T33" s="20">
        <f>'伤害统计(理想)'!T33</f>
        <v>0</v>
      </c>
      <c r="U33" s="20">
        <f>'伤害统计(理想)'!U33</f>
        <v>0</v>
      </c>
      <c r="V33" s="20">
        <f>'伤害统计(理想)'!V33</f>
        <v>0</v>
      </c>
      <c r="W33" s="20">
        <f>'伤害统计(理想)'!W33</f>
        <v>0</v>
      </c>
      <c r="X33" s="20">
        <f>'伤害统计(理想)'!X33</f>
        <v>0</v>
      </c>
      <c r="Y33" s="20">
        <f>'伤害统计(理想)'!Y33</f>
        <v>0</v>
      </c>
      <c r="Z33" s="20">
        <f>'伤害统计(理想)'!Z33</f>
        <v>0</v>
      </c>
      <c r="AA33" s="20">
        <f>'伤害统计(理想)'!AA33</f>
        <v>0</v>
      </c>
      <c r="AB33" s="20">
        <f>'伤害统计(理想)'!AB33</f>
        <v>0</v>
      </c>
      <c r="AC33" s="29"/>
    </row>
    <row r="34" spans="1:29">
      <c r="A34" s="20">
        <f>'伤害统计(理想)'!A34</f>
        <v>0</v>
      </c>
      <c r="B34" s="20">
        <f>'伤害统计(理想)'!B34</f>
        <v>0</v>
      </c>
      <c r="C34" s="20">
        <f>'伤害统计(理想)'!C34</f>
        <v>0</v>
      </c>
      <c r="D34" s="20">
        <f>'伤害统计(理想)'!D34</f>
        <v>0</v>
      </c>
      <c r="E34" s="20">
        <f>'伤害统计(理想)'!E34</f>
        <v>0</v>
      </c>
      <c r="F34" s="20">
        <f>'伤害统计(理想)'!F34</f>
        <v>0</v>
      </c>
      <c r="G34" s="20">
        <f>'伤害统计(理想)'!G34</f>
        <v>0</v>
      </c>
      <c r="H34" s="20">
        <f>'伤害统计(理想)'!H34</f>
        <v>0</v>
      </c>
      <c r="I34" s="20">
        <f>'伤害统计(理想)'!I34</f>
        <v>0</v>
      </c>
      <c r="J34" s="20">
        <f>'伤害统计(理想)'!J34</f>
        <v>0</v>
      </c>
      <c r="K34" s="20">
        <f>'伤害统计(理想)'!K34</f>
        <v>0</v>
      </c>
      <c r="L34" s="20">
        <f>'伤害统计(理想)'!L34</f>
        <v>0</v>
      </c>
      <c r="M34" s="20">
        <f>'伤害统计(理想)'!M34</f>
        <v>0</v>
      </c>
      <c r="N34" s="20">
        <f>'伤害统计(理想)'!N34</f>
        <v>0</v>
      </c>
      <c r="O34" s="20">
        <f>'伤害统计(理想)'!O34</f>
        <v>0</v>
      </c>
      <c r="P34" s="20">
        <f>'伤害统计(理想)'!P34</f>
        <v>0</v>
      </c>
      <c r="Q34" s="20">
        <f>'伤害统计(理想)'!Q34</f>
        <v>0</v>
      </c>
      <c r="R34" s="20">
        <f>'伤害统计(理想)'!R34</f>
        <v>0</v>
      </c>
      <c r="S34" s="20">
        <f>'伤害统计(理想)'!S34</f>
        <v>0</v>
      </c>
      <c r="T34" s="20">
        <f>'伤害统计(理想)'!T34</f>
        <v>0</v>
      </c>
      <c r="U34" s="20">
        <f>'伤害统计(理想)'!U34</f>
        <v>0</v>
      </c>
      <c r="V34" s="20">
        <f>'伤害统计(理想)'!V34</f>
        <v>0</v>
      </c>
      <c r="W34" s="20">
        <f>'伤害统计(理想)'!W34</f>
        <v>0</v>
      </c>
      <c r="X34" s="20">
        <f>'伤害统计(理想)'!X34</f>
        <v>0</v>
      </c>
      <c r="Y34" s="20">
        <f>'伤害统计(理想)'!Y34</f>
        <v>0</v>
      </c>
      <c r="Z34" s="20">
        <f>'伤害统计(理想)'!Z34</f>
        <v>0</v>
      </c>
      <c r="AA34" s="20">
        <f>'伤害统计(理想)'!AA34</f>
        <v>0</v>
      </c>
      <c r="AB34" s="20">
        <f>'伤害统计(理想)'!AB34</f>
        <v>0</v>
      </c>
      <c r="AC34" s="29"/>
    </row>
    <row r="35" spans="1:29">
      <c r="A35" s="20">
        <f>'伤害统计(理想)'!A35</f>
        <v>0</v>
      </c>
      <c r="B35" s="20">
        <f>'伤害统计(理想)'!B35</f>
        <v>0</v>
      </c>
      <c r="C35" s="20">
        <f>'伤害统计(理想)'!C35</f>
        <v>0</v>
      </c>
      <c r="D35" s="20">
        <f>'伤害统计(理想)'!D35</f>
        <v>0</v>
      </c>
      <c r="E35" s="20">
        <f>'伤害统计(理想)'!E35</f>
        <v>0</v>
      </c>
      <c r="F35" s="20">
        <f>'伤害统计(理想)'!F35</f>
        <v>0</v>
      </c>
      <c r="G35" s="20">
        <f>'伤害统计(理想)'!G35</f>
        <v>0</v>
      </c>
      <c r="H35" s="20">
        <f>'伤害统计(理想)'!H35</f>
        <v>0</v>
      </c>
      <c r="I35" s="20">
        <f>'伤害统计(理想)'!I35</f>
        <v>0</v>
      </c>
      <c r="J35" s="20">
        <f>'伤害统计(理想)'!J35</f>
        <v>0</v>
      </c>
      <c r="K35" s="20">
        <f>'伤害统计(理想)'!K35</f>
        <v>0</v>
      </c>
      <c r="L35" s="20">
        <f>'伤害统计(理想)'!L35</f>
        <v>0</v>
      </c>
      <c r="M35" s="20">
        <f>'伤害统计(理想)'!M35</f>
        <v>0</v>
      </c>
      <c r="N35" s="20">
        <f>'伤害统计(理想)'!N35</f>
        <v>0</v>
      </c>
      <c r="O35" s="20">
        <f>'伤害统计(理想)'!O35</f>
        <v>0</v>
      </c>
      <c r="P35" s="20">
        <f>'伤害统计(理想)'!P35</f>
        <v>0</v>
      </c>
      <c r="Q35" s="20">
        <f>'伤害统计(理想)'!Q35</f>
        <v>0</v>
      </c>
      <c r="R35" s="20">
        <f>'伤害统计(理想)'!R35</f>
        <v>0</v>
      </c>
      <c r="S35" s="20">
        <f>'伤害统计(理想)'!S35</f>
        <v>0</v>
      </c>
      <c r="T35" s="20">
        <f>'伤害统计(理想)'!T35</f>
        <v>0</v>
      </c>
      <c r="U35" s="20">
        <f>'伤害统计(理想)'!U35</f>
        <v>0</v>
      </c>
      <c r="V35" s="20">
        <f>'伤害统计(理想)'!V35</f>
        <v>0</v>
      </c>
      <c r="W35" s="20">
        <f>'伤害统计(理想)'!W35</f>
        <v>0</v>
      </c>
      <c r="X35" s="20">
        <f>'伤害统计(理想)'!X35</f>
        <v>0</v>
      </c>
      <c r="Y35" s="20">
        <f>'伤害统计(理想)'!Y35</f>
        <v>0</v>
      </c>
      <c r="Z35" s="20">
        <f>'伤害统计(理想)'!Z35</f>
        <v>0</v>
      </c>
      <c r="AA35" s="20">
        <f>'伤害统计(理想)'!AA35</f>
        <v>0</v>
      </c>
      <c r="AB35" s="20">
        <f>'伤害统计(理想)'!AB35</f>
        <v>0</v>
      </c>
      <c r="AC35" s="29"/>
    </row>
    <row r="36" spans="1:29">
      <c r="A36" s="20">
        <f>'伤害统计(理想)'!A36</f>
        <v>0</v>
      </c>
      <c r="B36" s="20">
        <f>'伤害统计(理想)'!B36</f>
        <v>0</v>
      </c>
      <c r="C36" s="20">
        <f>'伤害统计(理想)'!C36</f>
        <v>0</v>
      </c>
      <c r="D36" s="20">
        <f>'伤害统计(理想)'!D36</f>
        <v>0</v>
      </c>
      <c r="E36" s="20">
        <f>'伤害统计(理想)'!E36</f>
        <v>0</v>
      </c>
      <c r="F36" s="20">
        <f>'伤害统计(理想)'!F36</f>
        <v>0</v>
      </c>
      <c r="G36" s="20">
        <f>'伤害统计(理想)'!G36</f>
        <v>0</v>
      </c>
      <c r="H36" s="20">
        <f>'伤害统计(理想)'!H36</f>
        <v>0</v>
      </c>
      <c r="I36" s="20">
        <f>'伤害统计(理想)'!I36</f>
        <v>0</v>
      </c>
      <c r="J36" s="20">
        <f>'伤害统计(理想)'!J36</f>
        <v>0</v>
      </c>
      <c r="K36" s="20">
        <f>'伤害统计(理想)'!K36</f>
        <v>0</v>
      </c>
      <c r="L36" s="20">
        <f>'伤害统计(理想)'!L36</f>
        <v>0</v>
      </c>
      <c r="M36" s="20">
        <f>'伤害统计(理想)'!M36</f>
        <v>0</v>
      </c>
      <c r="N36" s="20">
        <f>'伤害统计(理想)'!N36</f>
        <v>0</v>
      </c>
      <c r="O36" s="20">
        <f>'伤害统计(理想)'!O36</f>
        <v>0</v>
      </c>
      <c r="P36" s="20">
        <f>'伤害统计(理想)'!P36</f>
        <v>0</v>
      </c>
      <c r="Q36" s="20">
        <f>'伤害统计(理想)'!Q36</f>
        <v>0</v>
      </c>
      <c r="R36" s="20">
        <f>'伤害统计(理想)'!R36</f>
        <v>0</v>
      </c>
      <c r="S36" s="20">
        <f>'伤害统计(理想)'!S36</f>
        <v>0</v>
      </c>
      <c r="T36" s="20">
        <f>'伤害统计(理想)'!T36</f>
        <v>0</v>
      </c>
      <c r="U36" s="20">
        <f>'伤害统计(理想)'!U36</f>
        <v>0</v>
      </c>
      <c r="V36" s="20">
        <f>'伤害统计(理想)'!V36</f>
        <v>0</v>
      </c>
      <c r="W36" s="20">
        <f>'伤害统计(理想)'!W36</f>
        <v>0</v>
      </c>
      <c r="X36" s="20">
        <f>'伤害统计(理想)'!X36</f>
        <v>0</v>
      </c>
      <c r="Y36" s="20">
        <f>'伤害统计(理想)'!Y36</f>
        <v>0</v>
      </c>
      <c r="Z36" s="20">
        <f>'伤害统计(理想)'!Z36</f>
        <v>0</v>
      </c>
      <c r="AA36" s="20">
        <f>'伤害统计(理想)'!AA36</f>
        <v>0</v>
      </c>
      <c r="AB36" s="20">
        <f>'伤害统计(理想)'!AB36</f>
        <v>0</v>
      </c>
      <c r="AC36" s="29"/>
    </row>
    <row r="37" spans="1:29">
      <c r="A37" s="20">
        <f>'伤害统计(理想)'!A37</f>
        <v>0</v>
      </c>
      <c r="B37" s="20" t="str">
        <f>'伤害统计(理想)'!B37</f>
        <v>常规</v>
      </c>
      <c r="C37" s="20" t="str">
        <f>'伤害统计(理想)'!C37</f>
        <v>小紫</v>
      </c>
      <c r="D37" s="20" t="str">
        <f>'伤害统计(理想)'!D37</f>
        <v>大紫</v>
      </c>
      <c r="E37" s="20" t="str">
        <f>'伤害统计(理想)'!E37</f>
        <v>大紫会神</v>
      </c>
      <c r="F37" s="20" t="str">
        <f>'伤害统计(理想)'!F37</f>
        <v>腰坠常规</v>
      </c>
      <c r="G37" s="20" t="str">
        <f>'伤害统计(理想)'!G37</f>
        <v>腰坠小紫</v>
      </c>
      <c r="H37" s="20" t="str">
        <f>'伤害统计(理想)'!H37</f>
        <v>腰坠大紫</v>
      </c>
      <c r="I37" s="20" t="str">
        <f>'伤害统计(理想)'!I37</f>
        <v>腰坠大紫会神</v>
      </c>
      <c r="J37" s="20">
        <f>'伤害统计(理想)'!J37</f>
        <v>0</v>
      </c>
      <c r="K37" s="20">
        <f>'伤害统计(理想)'!K37</f>
        <v>0</v>
      </c>
      <c r="L37" s="20" t="str">
        <f>'伤害统计(理想)'!L37</f>
        <v>技能数统计</v>
      </c>
      <c r="M37" s="20" t="str">
        <f>'伤害统计(理想)'!M37</f>
        <v>不可修改</v>
      </c>
      <c r="N37" s="20">
        <f>'伤害统计(理想)'!N37</f>
        <v>0</v>
      </c>
      <c r="O37" s="20">
        <f>'伤害统计(理想)'!O37</f>
        <v>0</v>
      </c>
      <c r="P37" s="20">
        <f>'伤害统计(理想)'!P37</f>
        <v>0</v>
      </c>
      <c r="Q37" s="20">
        <f>'伤害统计(理想)'!Q37</f>
        <v>0</v>
      </c>
      <c r="R37" s="20">
        <f>'伤害统计(理想)'!R37</f>
        <v>0</v>
      </c>
      <c r="S37" s="20">
        <f>'伤害统计(理想)'!S37</f>
        <v>0</v>
      </c>
      <c r="T37" s="20">
        <f>'伤害统计(理想)'!T37</f>
        <v>0</v>
      </c>
      <c r="U37" s="20">
        <f>'伤害统计(理想)'!U37</f>
        <v>0</v>
      </c>
      <c r="V37" s="20">
        <f>'伤害统计(理想)'!V37</f>
        <v>0</v>
      </c>
      <c r="W37" s="20">
        <f>'伤害统计(理想)'!W37</f>
        <v>0</v>
      </c>
      <c r="X37" s="20">
        <f>'伤害统计(理想)'!X37</f>
        <v>0</v>
      </c>
      <c r="Y37" s="20">
        <f>'伤害统计(理想)'!Y37</f>
        <v>0</v>
      </c>
      <c r="Z37" s="20">
        <f>'伤害统计(理想)'!Z37</f>
        <v>0</v>
      </c>
      <c r="AA37" s="20">
        <f>'伤害统计(理想)'!AA37</f>
        <v>0</v>
      </c>
      <c r="AB37" s="20">
        <f>'伤害统计(理想)'!AB37</f>
        <v>0</v>
      </c>
      <c r="AC37" s="29"/>
    </row>
    <row r="38" spans="1:29">
      <c r="A38" s="20" t="str">
        <f>'伤害统计(理想)'!A38</f>
        <v>万世二段</v>
      </c>
      <c r="B38" s="20">
        <f>'伤害统计(理想)'!B38</f>
        <v>7</v>
      </c>
      <c r="C38" s="20">
        <f>'伤害统计(理想)'!C38</f>
        <v>0</v>
      </c>
      <c r="D38" s="20">
        <f>'伤害统计(理想)'!D38</f>
        <v>0</v>
      </c>
      <c r="E38" s="20">
        <f>'伤害统计(理想)'!E38</f>
        <v>0</v>
      </c>
      <c r="F38" s="20">
        <f>'伤害统计(理想)'!F38</f>
        <v>0</v>
      </c>
      <c r="G38" s="20">
        <f>'伤害统计(理想)'!G38</f>
        <v>0</v>
      </c>
      <c r="H38" s="20">
        <f>'伤害统计(理想)'!H38</f>
        <v>0</v>
      </c>
      <c r="I38" s="20">
        <f>'伤害统计(理想)'!I38</f>
        <v>0</v>
      </c>
      <c r="J38" s="20">
        <f>'伤害统计(理想)'!J38</f>
        <v>0</v>
      </c>
      <c r="K38" s="20">
        <f>'伤害统计(理想)'!K38</f>
        <v>7</v>
      </c>
      <c r="L38" s="20">
        <f>'伤害统计(理想)'!L38</f>
        <v>7</v>
      </c>
      <c r="M38" s="20">
        <f>'伤害统计(理想)'!M38</f>
        <v>7</v>
      </c>
      <c r="N38" s="20" t="str">
        <f>'伤害统计(理想)'!N38</f>
        <v>伤害统计</v>
      </c>
      <c r="O38" s="20">
        <f>'伤害统计(理想)'!O38</f>
        <v>0</v>
      </c>
      <c r="P38" s="20">
        <f>'伤害统计(理想)'!P38</f>
        <v>0</v>
      </c>
      <c r="Q38" s="20">
        <f>'伤害统计(理想)'!Q38</f>
        <v>0</v>
      </c>
      <c r="R38" s="20">
        <f>'伤害统计(理想)'!R38</f>
        <v>0</v>
      </c>
      <c r="S38" s="20">
        <f>'伤害统计(理想)'!S38</f>
        <v>0</v>
      </c>
      <c r="T38" s="20">
        <f>'伤害统计(理想)'!T38</f>
        <v>0</v>
      </c>
      <c r="U38" s="20">
        <f>'伤害统计(理想)'!U38</f>
        <v>0</v>
      </c>
      <c r="V38" s="20">
        <f>'伤害统计(理想)'!V38</f>
        <v>0</v>
      </c>
      <c r="W38" s="20">
        <f>'伤害统计(理想)'!W38</f>
        <v>0</v>
      </c>
      <c r="X38" s="20">
        <f>'伤害统计(理想)'!X38</f>
        <v>0</v>
      </c>
      <c r="Y38" s="20">
        <f>'伤害统计(理想)'!Y38</f>
        <v>0</v>
      </c>
      <c r="Z38" s="20">
        <f>'伤害统计(理想)'!Z38</f>
        <v>0</v>
      </c>
      <c r="AA38" s="20">
        <f>'伤害统计(理想)'!AA38</f>
        <v>0</v>
      </c>
      <c r="AB38" s="20">
        <f>'伤害统计(理想)'!AB38</f>
        <v>0</v>
      </c>
      <c r="AC38" s="29"/>
    </row>
    <row r="39" spans="1:29">
      <c r="A39" s="20" t="str">
        <f>'伤害统计(理想)'!A39</f>
        <v>飞剑1</v>
      </c>
      <c r="B39" s="20">
        <f>'伤害统计(理想)'!B39</f>
        <v>99</v>
      </c>
      <c r="C39" s="20">
        <f>'伤害统计(理想)'!C39</f>
        <v>0</v>
      </c>
      <c r="D39" s="20">
        <f>'伤害统计(理想)'!D39</f>
        <v>5</v>
      </c>
      <c r="E39" s="20">
        <f>'伤害统计(理想)'!E39</f>
        <v>10</v>
      </c>
      <c r="F39" s="20">
        <f>'伤害统计(理想)'!F39</f>
        <v>2</v>
      </c>
      <c r="G39" s="20">
        <f>'伤害统计(理想)'!G39</f>
        <v>0</v>
      </c>
      <c r="H39" s="20">
        <f>'伤害统计(理想)'!H39</f>
        <v>2</v>
      </c>
      <c r="I39" s="20">
        <f>'伤害统计(理想)'!I39</f>
        <v>4</v>
      </c>
      <c r="J39" s="20">
        <f>'伤害统计(理想)'!J39</f>
        <v>0</v>
      </c>
      <c r="K39" s="20">
        <f>'伤害统计(理想)'!K39</f>
        <v>122</v>
      </c>
      <c r="L39" s="20">
        <f>'伤害统计(理想)'!L39</f>
        <v>610</v>
      </c>
      <c r="M39" s="20">
        <f>'伤害统计(理想)'!M39</f>
        <v>115</v>
      </c>
      <c r="N39" s="20">
        <f>'伤害统计(理想)'!N39</f>
        <v>0</v>
      </c>
      <c r="O39" s="20" t="str">
        <f>'伤害统计(理想)'!O39</f>
        <v>技能名称</v>
      </c>
      <c r="P39" s="20" t="str">
        <f>'伤害统计(理想)'!P39</f>
        <v>次数</v>
      </c>
      <c r="Q39" s="20" t="str">
        <f>'伤害统计(理想)'!Q39</f>
        <v>正常伤害</v>
      </c>
      <c r="R39" s="20" t="str">
        <f>'伤害统计(理想)'!R39</f>
        <v>伤害占比</v>
      </c>
      <c r="S39" s="20">
        <f>'伤害统计(理想)'!S39</f>
        <v>0</v>
      </c>
      <c r="T39" s="20">
        <f>'伤害统计(理想)'!T39</f>
        <v>0</v>
      </c>
      <c r="U39" s="20">
        <f>'伤害统计(理想)'!U39</f>
        <v>0</v>
      </c>
      <c r="V39" s="20">
        <f>'伤害统计(理想)'!V39</f>
        <v>0</v>
      </c>
      <c r="W39" s="20">
        <f>'伤害统计(理想)'!W39</f>
        <v>0</v>
      </c>
      <c r="X39" s="20">
        <f>'伤害统计(理想)'!X39</f>
        <v>0</v>
      </c>
      <c r="Y39" s="20">
        <f>'伤害统计(理想)'!Y39</f>
        <v>0</v>
      </c>
      <c r="Z39" s="20">
        <f>'伤害统计(理想)'!Z39</f>
        <v>0</v>
      </c>
      <c r="AA39" s="20">
        <f>'伤害统计(理想)'!AA39</f>
        <v>0</v>
      </c>
      <c r="AB39" s="20">
        <f>'伤害统计(理想)'!AB39</f>
        <v>0</v>
      </c>
      <c r="AC39" s="29"/>
    </row>
    <row r="40" spans="1:29">
      <c r="A40" s="20" t="str">
        <f>'伤害统计(理想)'!A40</f>
        <v>飞剑2</v>
      </c>
      <c r="B40" s="20">
        <f>'伤害统计(理想)'!B40</f>
        <v>99</v>
      </c>
      <c r="C40" s="20">
        <f>'伤害统计(理想)'!C40</f>
        <v>0</v>
      </c>
      <c r="D40" s="20">
        <f>'伤害统计(理想)'!D40</f>
        <v>5</v>
      </c>
      <c r="E40" s="20">
        <f>'伤害统计(理想)'!E40</f>
        <v>10</v>
      </c>
      <c r="F40" s="20">
        <f>'伤害统计(理想)'!F40</f>
        <v>2</v>
      </c>
      <c r="G40" s="20">
        <f>'伤害统计(理想)'!G40</f>
        <v>0</v>
      </c>
      <c r="H40" s="20">
        <f>'伤害统计(理想)'!H40</f>
        <v>2</v>
      </c>
      <c r="I40" s="20">
        <f>'伤害统计(理想)'!I40</f>
        <v>4</v>
      </c>
      <c r="J40" s="20">
        <f>'伤害统计(理想)'!J40</f>
        <v>0</v>
      </c>
      <c r="K40" s="20">
        <f>'伤害统计(理想)'!K40</f>
        <v>122</v>
      </c>
      <c r="L40" s="20">
        <f>'伤害统计(理想)'!L40</f>
        <v>0</v>
      </c>
      <c r="M40" s="20">
        <f>'伤害统计(理想)'!M40</f>
        <v>0</v>
      </c>
      <c r="N40" s="20">
        <f>'伤害统计(理想)'!N40</f>
        <v>1</v>
      </c>
      <c r="O40" s="20" t="str">
        <f>'伤害统计(理想)'!O40</f>
        <v>破</v>
      </c>
      <c r="P40" s="20">
        <f>'伤害统计(理想)'!P40</f>
        <v>91</v>
      </c>
      <c r="Q40" s="20">
        <f>'伤害统计(理想)'!Q40</f>
        <v>50882445</v>
      </c>
      <c r="R40" s="20">
        <f>'伤害统计(理想)'!R40</f>
        <v>0.235591999359747</v>
      </c>
      <c r="S40" s="20">
        <f>'伤害统计(理想)'!S40</f>
        <v>0</v>
      </c>
      <c r="T40" s="20">
        <f>'伤害统计(理想)'!T40</f>
        <v>0</v>
      </c>
      <c r="U40" s="20">
        <f>'伤害统计(理想)'!U40</f>
        <v>0</v>
      </c>
      <c r="V40" s="20">
        <f>'伤害统计(理想)'!V40</f>
        <v>0</v>
      </c>
      <c r="W40" s="20">
        <f>'伤害统计(理想)'!W40</f>
        <v>0</v>
      </c>
      <c r="X40" s="20">
        <f>'伤害统计(理想)'!X40</f>
        <v>0</v>
      </c>
      <c r="Y40" s="20">
        <f>'伤害统计(理想)'!Y40</f>
        <v>0</v>
      </c>
      <c r="Z40" s="20">
        <f>'伤害统计(理想)'!Z40</f>
        <v>0</v>
      </c>
      <c r="AA40" s="20">
        <f>'伤害统计(理想)'!AA40</f>
        <v>0</v>
      </c>
      <c r="AB40" s="20">
        <f>'伤害统计(理想)'!AB40</f>
        <v>0</v>
      </c>
      <c r="AC40" s="29"/>
    </row>
    <row r="41" spans="1:29">
      <c r="A41" s="20" t="str">
        <f>'伤害统计(理想)'!A41</f>
        <v>飞剑3</v>
      </c>
      <c r="B41" s="20">
        <f>'伤害统计(理想)'!B41</f>
        <v>99</v>
      </c>
      <c r="C41" s="20">
        <f>'伤害统计(理想)'!C41</f>
        <v>0</v>
      </c>
      <c r="D41" s="20">
        <f>'伤害统计(理想)'!D41</f>
        <v>5</v>
      </c>
      <c r="E41" s="20">
        <f>'伤害统计(理想)'!E41</f>
        <v>10</v>
      </c>
      <c r="F41" s="20">
        <f>'伤害统计(理想)'!F41</f>
        <v>2</v>
      </c>
      <c r="G41" s="20">
        <f>'伤害统计(理想)'!G41</f>
        <v>0</v>
      </c>
      <c r="H41" s="20">
        <f>'伤害统计(理想)'!H41</f>
        <v>2</v>
      </c>
      <c r="I41" s="20">
        <f>'伤害统计(理想)'!I41</f>
        <v>4</v>
      </c>
      <c r="J41" s="20">
        <f>'伤害统计(理想)'!J41</f>
        <v>0</v>
      </c>
      <c r="K41" s="20">
        <f>'伤害统计(理想)'!K41</f>
        <v>122</v>
      </c>
      <c r="L41" s="20">
        <f>'伤害统计(理想)'!L41</f>
        <v>0</v>
      </c>
      <c r="M41" s="20">
        <f>'伤害统计(理想)'!M41</f>
        <v>0</v>
      </c>
      <c r="N41" s="20">
        <f>'伤害统计(理想)'!N41</f>
        <v>2</v>
      </c>
      <c r="O41" s="20" t="str">
        <f>'伤害统计(理想)'!O41</f>
        <v>飞剑</v>
      </c>
      <c r="P41" s="20">
        <f>'伤害统计(理想)'!P41</f>
        <v>610</v>
      </c>
      <c r="Q41" s="20">
        <f>'伤害统计(理想)'!Q41</f>
        <v>67946513</v>
      </c>
      <c r="R41" s="20">
        <f>'伤害统计(理想)'!R41</f>
        <v>0.314600739944651</v>
      </c>
      <c r="S41" s="20">
        <f>'伤害统计(理想)'!S41</f>
        <v>0</v>
      </c>
      <c r="T41" s="20">
        <f>'伤害统计(理想)'!T41</f>
        <v>0</v>
      </c>
      <c r="U41" s="20">
        <f>'伤害统计(理想)'!U41</f>
        <v>0</v>
      </c>
      <c r="V41" s="20">
        <f>'伤害统计(理想)'!V41</f>
        <v>0</v>
      </c>
      <c r="W41" s="20">
        <f>'伤害统计(理想)'!W41</f>
        <v>0</v>
      </c>
      <c r="X41" s="20">
        <f>'伤害统计(理想)'!X41</f>
        <v>0</v>
      </c>
      <c r="Y41" s="20">
        <f>'伤害统计(理想)'!Y41</f>
        <v>0</v>
      </c>
      <c r="Z41" s="20">
        <f>'伤害统计(理想)'!Z41</f>
        <v>0</v>
      </c>
      <c r="AA41" s="20">
        <f>'伤害统计(理想)'!AA41</f>
        <v>0</v>
      </c>
      <c r="AB41" s="20">
        <f>'伤害统计(理想)'!AB41</f>
        <v>0</v>
      </c>
      <c r="AC41" s="29"/>
    </row>
    <row r="42" spans="1:29">
      <c r="A42" s="20" t="str">
        <f>'伤害统计(理想)'!A42</f>
        <v>飞剑4</v>
      </c>
      <c r="B42" s="20">
        <f>'伤害统计(理想)'!B42</f>
        <v>99</v>
      </c>
      <c r="C42" s="20">
        <f>'伤害统计(理想)'!C42</f>
        <v>0</v>
      </c>
      <c r="D42" s="20">
        <f>'伤害统计(理想)'!D42</f>
        <v>5</v>
      </c>
      <c r="E42" s="20">
        <f>'伤害统计(理想)'!E42</f>
        <v>10</v>
      </c>
      <c r="F42" s="20">
        <f>'伤害统计(理想)'!F42</f>
        <v>2</v>
      </c>
      <c r="G42" s="20">
        <f>'伤害统计(理想)'!G42</f>
        <v>0</v>
      </c>
      <c r="H42" s="20">
        <f>'伤害统计(理想)'!H42</f>
        <v>2</v>
      </c>
      <c r="I42" s="20">
        <f>'伤害统计(理想)'!I42</f>
        <v>4</v>
      </c>
      <c r="J42" s="20">
        <f>'伤害统计(理想)'!J42</f>
        <v>0</v>
      </c>
      <c r="K42" s="20">
        <f>'伤害统计(理想)'!K42</f>
        <v>122</v>
      </c>
      <c r="L42" s="20">
        <f>'伤害统计(理想)'!L42</f>
        <v>0</v>
      </c>
      <c r="M42" s="20">
        <f>'伤害统计(理想)'!M42</f>
        <v>0</v>
      </c>
      <c r="N42" s="20">
        <f>'伤害统计(理想)'!N42</f>
        <v>3</v>
      </c>
      <c r="O42" s="20" t="str">
        <f>'伤害统计(理想)'!O42</f>
        <v>两仪</v>
      </c>
      <c r="P42" s="20">
        <f>'伤害统计(理想)'!P42</f>
        <v>84</v>
      </c>
      <c r="Q42" s="20">
        <f>'伤害统计(理想)'!Q42</f>
        <v>28818379</v>
      </c>
      <c r="R42" s="20">
        <f>'伤害统计(理想)'!R42</f>
        <v>0.133432651023687</v>
      </c>
      <c r="S42" s="20">
        <f>'伤害统计(理想)'!S42</f>
        <v>0</v>
      </c>
      <c r="T42" s="20">
        <f>'伤害统计(理想)'!T42</f>
        <v>0</v>
      </c>
      <c r="U42" s="20">
        <f>'伤害统计(理想)'!U42</f>
        <v>0</v>
      </c>
      <c r="V42" s="20">
        <f>'伤害统计(理想)'!V42</f>
        <v>0</v>
      </c>
      <c r="W42" s="20">
        <f>'伤害统计(理想)'!W42</f>
        <v>0</v>
      </c>
      <c r="X42" s="20">
        <f>'伤害统计(理想)'!X42</f>
        <v>0</v>
      </c>
      <c r="Y42" s="20">
        <f>'伤害统计(理想)'!Y42</f>
        <v>0</v>
      </c>
      <c r="Z42" s="20">
        <f>'伤害统计(理想)'!Z42</f>
        <v>0</v>
      </c>
      <c r="AA42" s="20">
        <f>'伤害统计(理想)'!AA42</f>
        <v>0</v>
      </c>
      <c r="AB42" s="20">
        <f>'伤害统计(理想)'!AB42</f>
        <v>0</v>
      </c>
      <c r="AC42" s="29"/>
    </row>
    <row r="43" spans="1:29">
      <c r="A43" s="20" t="str">
        <f>'伤害统计(理想)'!A43</f>
        <v>飞剑5</v>
      </c>
      <c r="B43" s="20">
        <f>'伤害统计(理想)'!B43</f>
        <v>99</v>
      </c>
      <c r="C43" s="20">
        <f>'伤害统计(理想)'!C43</f>
        <v>0</v>
      </c>
      <c r="D43" s="20">
        <f>'伤害统计(理想)'!D43</f>
        <v>5</v>
      </c>
      <c r="E43" s="20">
        <f>'伤害统计(理想)'!E43</f>
        <v>10</v>
      </c>
      <c r="F43" s="20">
        <f>'伤害统计(理想)'!F43</f>
        <v>2</v>
      </c>
      <c r="G43" s="20">
        <f>'伤害统计(理想)'!G43</f>
        <v>0</v>
      </c>
      <c r="H43" s="20">
        <f>'伤害统计(理想)'!H43</f>
        <v>2</v>
      </c>
      <c r="I43" s="20">
        <f>'伤害统计(理想)'!I43</f>
        <v>4</v>
      </c>
      <c r="J43" s="20">
        <f>'伤害统计(理想)'!J43</f>
        <v>0</v>
      </c>
      <c r="K43" s="20">
        <f>'伤害统计(理想)'!K43</f>
        <v>122</v>
      </c>
      <c r="L43" s="20">
        <f>'伤害统计(理想)'!L43</f>
        <v>0</v>
      </c>
      <c r="M43" s="20">
        <f>'伤害统计(理想)'!M43</f>
        <v>0</v>
      </c>
      <c r="N43" s="20">
        <f>'伤害统计(理想)'!N43</f>
        <v>4</v>
      </c>
      <c r="O43" s="20" t="str">
        <f>'伤害统计(理想)'!O43</f>
        <v>颠越苍穹击</v>
      </c>
      <c r="P43" s="20">
        <f>'伤害统计(理想)'!P43</f>
        <v>168</v>
      </c>
      <c r="Q43" s="20">
        <f>'伤害统计(理想)'!Q43</f>
        <v>21612014</v>
      </c>
      <c r="R43" s="20">
        <f>'伤害统计(理想)'!R43</f>
        <v>0.100066291791812</v>
      </c>
      <c r="S43" s="20">
        <f>'伤害统计(理想)'!S43</f>
        <v>0</v>
      </c>
      <c r="T43" s="20">
        <f>'伤害统计(理想)'!T43</f>
        <v>0</v>
      </c>
      <c r="U43" s="20">
        <f>'伤害统计(理想)'!U43</f>
        <v>0</v>
      </c>
      <c r="V43" s="20">
        <f>'伤害统计(理想)'!V43</f>
        <v>0</v>
      </c>
      <c r="W43" s="20">
        <f>'伤害统计(理想)'!W43</f>
        <v>0</v>
      </c>
      <c r="X43" s="20">
        <f>'伤害统计(理想)'!X43</f>
        <v>0</v>
      </c>
      <c r="Y43" s="20">
        <f>'伤害统计(理想)'!Y43</f>
        <v>0</v>
      </c>
      <c r="Z43" s="20">
        <f>'伤害统计(理想)'!Z43</f>
        <v>0</v>
      </c>
      <c r="AA43" s="20">
        <f>'伤害统计(理想)'!AA43</f>
        <v>0</v>
      </c>
      <c r="AB43" s="20">
        <f>'伤害统计(理想)'!AB43</f>
        <v>0</v>
      </c>
      <c r="AC43" s="29"/>
    </row>
    <row r="44" spans="1:29">
      <c r="A44" s="20" t="str">
        <f>'伤害统计(理想)'!A44</f>
        <v>颠越苍穹击</v>
      </c>
      <c r="B44" s="20">
        <f>'伤害统计(理想)'!B44</f>
        <v>28</v>
      </c>
      <c r="C44" s="20">
        <f>'伤害统计(理想)'!C44</f>
        <v>0</v>
      </c>
      <c r="D44" s="20">
        <f>'伤害统计(理想)'!D44</f>
        <v>0</v>
      </c>
      <c r="E44" s="20">
        <f>'伤害统计(理想)'!E44</f>
        <v>100</v>
      </c>
      <c r="F44" s="20">
        <f>'伤害统计(理想)'!F44</f>
        <v>0</v>
      </c>
      <c r="G44" s="20">
        <f>'伤害统计(理想)'!G44</f>
        <v>0</v>
      </c>
      <c r="H44" s="20">
        <f>'伤害统计(理想)'!H44</f>
        <v>0</v>
      </c>
      <c r="I44" s="20">
        <f>'伤害统计(理想)'!I44</f>
        <v>40</v>
      </c>
      <c r="J44" s="20">
        <f>'伤害统计(理想)'!J44</f>
        <v>0</v>
      </c>
      <c r="K44" s="20">
        <f>'伤害统计(理想)'!K44</f>
        <v>168</v>
      </c>
      <c r="L44" s="20">
        <f>'伤害统计(理想)'!L44</f>
        <v>168</v>
      </c>
      <c r="M44" s="20">
        <f>'伤害统计(理想)'!M44</f>
        <v>168</v>
      </c>
      <c r="N44" s="20">
        <f>'伤害统计(理想)'!N44</f>
        <v>5</v>
      </c>
      <c r="O44" s="20" t="str">
        <f>'伤害统计(理想)'!O44</f>
        <v>六合</v>
      </c>
      <c r="P44" s="20">
        <f>'伤害统计(理想)'!P44</f>
        <v>93</v>
      </c>
      <c r="Q44" s="20">
        <f>'伤害统计(理想)'!Q44</f>
        <v>13289482</v>
      </c>
      <c r="R44" s="20">
        <f>'伤害统计(理想)'!R44</f>
        <v>0.0615319416123844</v>
      </c>
      <c r="S44" s="20">
        <f>'伤害统计(理想)'!S44</f>
        <v>0</v>
      </c>
      <c r="T44" s="20">
        <f>'伤害统计(理想)'!T44</f>
        <v>0</v>
      </c>
      <c r="U44" s="20">
        <f>'伤害统计(理想)'!U44</f>
        <v>0</v>
      </c>
      <c r="V44" s="20">
        <f>'伤害统计(理想)'!V44</f>
        <v>0</v>
      </c>
      <c r="W44" s="20">
        <f>'伤害统计(理想)'!W44</f>
        <v>0</v>
      </c>
      <c r="X44" s="20">
        <f>'伤害统计(理想)'!X44</f>
        <v>0</v>
      </c>
      <c r="Y44" s="20">
        <f>'伤害统计(理想)'!Y44</f>
        <v>0</v>
      </c>
      <c r="Z44" s="20">
        <f>'伤害统计(理想)'!Z44</f>
        <v>0</v>
      </c>
      <c r="AA44" s="20">
        <f>'伤害统计(理想)'!AA44</f>
        <v>0</v>
      </c>
      <c r="AB44" s="20">
        <f>'伤害统计(理想)'!AB44</f>
        <v>0</v>
      </c>
      <c r="AC44" s="29"/>
    </row>
    <row r="45" spans="1:29">
      <c r="A45" s="20" t="str">
        <f>'伤害统计(理想)'!A45</f>
        <v>五方行尽</v>
      </c>
      <c r="B45" s="20">
        <f>'伤害统计(理想)'!B45</f>
        <v>7</v>
      </c>
      <c r="C45" s="20">
        <f>'伤害统计(理想)'!C45</f>
        <v>0</v>
      </c>
      <c r="D45" s="20">
        <f>'伤害统计(理想)'!D45</f>
        <v>0</v>
      </c>
      <c r="E45" s="20">
        <f>'伤害统计(理想)'!E45</f>
        <v>0</v>
      </c>
      <c r="F45" s="20">
        <f>'伤害统计(理想)'!F45</f>
        <v>0</v>
      </c>
      <c r="G45" s="20">
        <f>'伤害统计(理想)'!G45</f>
        <v>0</v>
      </c>
      <c r="H45" s="20">
        <f>'伤害统计(理想)'!H45</f>
        <v>0</v>
      </c>
      <c r="I45" s="20">
        <f>'伤害统计(理想)'!I45</f>
        <v>0</v>
      </c>
      <c r="J45" s="20">
        <f>'伤害统计(理想)'!J45</f>
        <v>0</v>
      </c>
      <c r="K45" s="20">
        <f>'伤害统计(理想)'!K45</f>
        <v>7</v>
      </c>
      <c r="L45" s="20">
        <f>'伤害统计(理想)'!L45</f>
        <v>7</v>
      </c>
      <c r="M45" s="20">
        <f>'伤害统计(理想)'!M45</f>
        <v>0</v>
      </c>
      <c r="N45" s="20">
        <f>'伤害统计(理想)'!N45</f>
        <v>6</v>
      </c>
      <c r="O45" s="20" t="str">
        <f>'伤害统计(理想)'!O45</f>
        <v>四象</v>
      </c>
      <c r="P45" s="20">
        <f>'伤害统计(理想)'!P45</f>
        <v>65</v>
      </c>
      <c r="Q45" s="20">
        <f>'伤害统计(理想)'!Q45</f>
        <v>26849390</v>
      </c>
      <c r="R45" s="20">
        <f>'伤害统计(理想)'!R45</f>
        <v>0.124315988975954</v>
      </c>
      <c r="S45" s="20">
        <f>'伤害统计(理想)'!S45</f>
        <v>0</v>
      </c>
      <c r="T45" s="20">
        <f>'伤害统计(理想)'!T45</f>
        <v>0</v>
      </c>
      <c r="U45" s="20">
        <f>'伤害统计(理想)'!U45</f>
        <v>0</v>
      </c>
      <c r="V45" s="20">
        <f>'伤害统计(理想)'!V45</f>
        <v>0</v>
      </c>
      <c r="W45" s="20">
        <f>'伤害统计(理想)'!W45</f>
        <v>0</v>
      </c>
      <c r="X45" s="20">
        <f>'伤害统计(理想)'!X45</f>
        <v>0</v>
      </c>
      <c r="Y45" s="20">
        <f>'伤害统计(理想)'!Y45</f>
        <v>0</v>
      </c>
      <c r="Z45" s="20">
        <f>'伤害统计(理想)'!Z45</f>
        <v>0</v>
      </c>
      <c r="AA45" s="20">
        <f>'伤害统计(理想)'!AA45</f>
        <v>0</v>
      </c>
      <c r="AB45" s="20">
        <f>'伤害统计(理想)'!AB45</f>
        <v>0</v>
      </c>
      <c r="AC45" s="29"/>
    </row>
    <row r="46" spans="1:29">
      <c r="A46" s="20" t="str">
        <f>'伤害统计(理想)'!A46</f>
        <v>四象轮回</v>
      </c>
      <c r="B46" s="20">
        <f>'伤害统计(理想)'!B46</f>
        <v>42</v>
      </c>
      <c r="C46" s="20">
        <f>'伤害统计(理想)'!C46</f>
        <v>0</v>
      </c>
      <c r="D46" s="20">
        <f>'伤害统计(理想)'!D46</f>
        <v>5</v>
      </c>
      <c r="E46" s="20">
        <f>'伤害统计(理想)'!E46</f>
        <v>10</v>
      </c>
      <c r="F46" s="20">
        <f>'伤害统计(理想)'!F46</f>
        <v>2</v>
      </c>
      <c r="G46" s="20">
        <f>'伤害统计(理想)'!G46</f>
        <v>0</v>
      </c>
      <c r="H46" s="20">
        <f>'伤害统计(理想)'!H46</f>
        <v>2</v>
      </c>
      <c r="I46" s="20">
        <f>'伤害统计(理想)'!I46</f>
        <v>4</v>
      </c>
      <c r="J46" s="20">
        <f>'伤害统计(理想)'!J46</f>
        <v>0</v>
      </c>
      <c r="K46" s="20">
        <f>'伤害统计(理想)'!K46</f>
        <v>65</v>
      </c>
      <c r="L46" s="20">
        <f>'伤害统计(理想)'!L46</f>
        <v>65</v>
      </c>
      <c r="M46" s="20">
        <f>'伤害统计(理想)'!M46</f>
        <v>0</v>
      </c>
      <c r="N46" s="20">
        <f>'伤害统计(理想)'!N46</f>
        <v>7</v>
      </c>
      <c r="O46" s="20" t="str">
        <f>'伤害统计(理想)'!O46</f>
        <v>万世不竭</v>
      </c>
      <c r="P46" s="20">
        <f>'伤害统计(理想)'!P46</f>
        <v>7</v>
      </c>
      <c r="Q46" s="20">
        <f>'伤害统计(理想)'!Q46</f>
        <v>4554092</v>
      </c>
      <c r="R46" s="20">
        <f>'伤害统计(理想)'!R46</f>
        <v>0.0210860079453381</v>
      </c>
      <c r="S46" s="20">
        <f>'伤害统计(理想)'!S46</f>
        <v>0</v>
      </c>
      <c r="T46" s="20">
        <f>'伤害统计(理想)'!T46</f>
        <v>0</v>
      </c>
      <c r="U46" s="20">
        <f>'伤害统计(理想)'!U46</f>
        <v>0</v>
      </c>
      <c r="V46" s="20">
        <f>'伤害统计(理想)'!V46</f>
        <v>0</v>
      </c>
      <c r="W46" s="20">
        <f>'伤害统计(理想)'!W46</f>
        <v>0</v>
      </c>
      <c r="X46" s="20">
        <f>'伤害统计(理想)'!X46</f>
        <v>0</v>
      </c>
      <c r="Y46" s="20">
        <f>'伤害统计(理想)'!Y46</f>
        <v>0</v>
      </c>
      <c r="Z46" s="20">
        <f>'伤害统计(理想)'!Z46</f>
        <v>0</v>
      </c>
      <c r="AA46" s="20">
        <f>'伤害统计(理想)'!AA46</f>
        <v>0</v>
      </c>
      <c r="AB46" s="20">
        <f>'伤害统计(理想)'!AB46</f>
        <v>0</v>
      </c>
      <c r="AC46" s="32"/>
    </row>
    <row r="47" spans="1:29">
      <c r="A47" s="20" t="str">
        <f>'伤害统计(理想)'!A47</f>
        <v>两仪化形(5)</v>
      </c>
      <c r="B47" s="20">
        <f>'伤害统计(理想)'!B47</f>
        <v>42</v>
      </c>
      <c r="C47" s="20">
        <f>'伤害统计(理想)'!C47</f>
        <v>0</v>
      </c>
      <c r="D47" s="20">
        <f>'伤害统计(理想)'!D47</f>
        <v>5</v>
      </c>
      <c r="E47" s="20">
        <f>'伤害统计(理想)'!E47</f>
        <v>15</v>
      </c>
      <c r="F47" s="20">
        <f>'伤害统计(理想)'!F47</f>
        <v>2</v>
      </c>
      <c r="G47" s="20">
        <f>'伤害统计(理想)'!G47</f>
        <v>0</v>
      </c>
      <c r="H47" s="20">
        <f>'伤害统计(理想)'!H47</f>
        <v>2</v>
      </c>
      <c r="I47" s="20">
        <f>'伤害统计(理想)'!I47</f>
        <v>6</v>
      </c>
      <c r="J47" s="20">
        <f>'伤害统计(理想)'!J47</f>
        <v>0</v>
      </c>
      <c r="K47" s="20">
        <f>'伤害统计(理想)'!K47</f>
        <v>72</v>
      </c>
      <c r="L47" s="20">
        <f>'伤害统计(理想)'!L47</f>
        <v>84</v>
      </c>
      <c r="M47" s="20">
        <f>'伤害统计(理想)'!M47</f>
        <v>30</v>
      </c>
      <c r="N47" s="20">
        <f>'伤害统计(理想)'!N47</f>
        <v>8</v>
      </c>
      <c r="O47" s="20" t="str">
        <f>'伤害统计(理想)'!O47</f>
        <v>空啸太玄剑</v>
      </c>
      <c r="P47" s="20">
        <f>'伤害统计(理想)'!P47</f>
        <v>0</v>
      </c>
      <c r="Q47" s="20">
        <f>'伤害统计(理想)'!Q47</f>
        <v>0</v>
      </c>
      <c r="R47" s="20">
        <f>'伤害统计(理想)'!R47</f>
        <v>0</v>
      </c>
      <c r="S47" s="20">
        <f>'伤害统计(理想)'!S47</f>
        <v>0</v>
      </c>
      <c r="T47" s="20">
        <f>'伤害统计(理想)'!T47</f>
        <v>0</v>
      </c>
      <c r="U47" s="20">
        <f>'伤害统计(理想)'!U47</f>
        <v>0</v>
      </c>
      <c r="V47" s="20">
        <f>'伤害统计(理想)'!V47</f>
        <v>0</v>
      </c>
      <c r="W47" s="20">
        <f>'伤害统计(理想)'!W47</f>
        <v>0</v>
      </c>
      <c r="X47" s="20">
        <f>'伤害统计(理想)'!X47</f>
        <v>0</v>
      </c>
      <c r="Y47" s="20">
        <f>'伤害统计(理想)'!Y47</f>
        <v>0</v>
      </c>
      <c r="Z47" s="20">
        <f>'伤害统计(理想)'!Z47</f>
        <v>0</v>
      </c>
      <c r="AA47" s="20">
        <f>'伤害统计(理想)'!AA47</f>
        <v>0</v>
      </c>
      <c r="AB47" s="20">
        <f>'伤害统计(理想)'!AB47</f>
        <v>0</v>
      </c>
      <c r="AC47" s="29"/>
    </row>
    <row r="48" spans="1:29">
      <c r="A48" s="20" t="str">
        <f>'伤害统计(理想)'!A48</f>
        <v>两仪化形(4</v>
      </c>
      <c r="B48" s="20">
        <f>'伤害统计(理想)'!B48</f>
        <v>12</v>
      </c>
      <c r="C48" s="20">
        <f>'伤害统计(理想)'!C48</f>
        <v>0</v>
      </c>
      <c r="D48" s="20">
        <f>'伤害统计(理想)'!D48</f>
        <v>0</v>
      </c>
      <c r="E48" s="20">
        <f>'伤害统计(理想)'!E48</f>
        <v>0</v>
      </c>
      <c r="F48" s="20">
        <f>'伤害统计(理想)'!F48</f>
        <v>0</v>
      </c>
      <c r="G48" s="20">
        <f>'伤害统计(理想)'!G48</f>
        <v>0</v>
      </c>
      <c r="H48" s="20">
        <f>'伤害统计(理想)'!H48</f>
        <v>0</v>
      </c>
      <c r="I48" s="20">
        <f>'伤害统计(理想)'!I48</f>
        <v>0</v>
      </c>
      <c r="J48" s="20">
        <f>'伤害统计(理想)'!J48</f>
        <v>0</v>
      </c>
      <c r="K48" s="20">
        <f>'伤害统计(理想)'!K48</f>
        <v>12</v>
      </c>
      <c r="L48" s="20">
        <f>'伤害统计(理想)'!L48</f>
        <v>0</v>
      </c>
      <c r="M48" s="20">
        <f>'伤害统计(理想)'!M48</f>
        <v>0</v>
      </c>
      <c r="N48" s="20">
        <f>'伤害统计(理想)'!N48</f>
        <v>9</v>
      </c>
      <c r="O48" s="20" t="str">
        <f>'伤害统计(理想)'!O48</f>
        <v>白鹤舒翅</v>
      </c>
      <c r="P48" s="20">
        <f>'伤害统计(理想)'!P48</f>
        <v>0</v>
      </c>
      <c r="Q48" s="20">
        <f>'伤害统计(理想)'!Q48</f>
        <v>0</v>
      </c>
      <c r="R48" s="20">
        <f>'伤害统计(理想)'!R48</f>
        <v>0</v>
      </c>
      <c r="S48" s="20">
        <f>'伤害统计(理想)'!S48</f>
        <v>0</v>
      </c>
      <c r="T48" s="20">
        <f>'伤害统计(理想)'!T48</f>
        <v>0</v>
      </c>
      <c r="U48" s="20">
        <f>'伤害统计(理想)'!U48</f>
        <v>0</v>
      </c>
      <c r="V48" s="20">
        <f>'伤害统计(理想)'!V48</f>
        <v>0</v>
      </c>
      <c r="W48" s="20">
        <f>'伤害统计(理想)'!W48</f>
        <v>0</v>
      </c>
      <c r="X48" s="20">
        <f>'伤害统计(理想)'!X48</f>
        <v>0</v>
      </c>
      <c r="Y48" s="20">
        <f>'伤害统计(理想)'!Y48</f>
        <v>0</v>
      </c>
      <c r="Z48" s="20">
        <f>'伤害统计(理想)'!Z48</f>
        <v>0</v>
      </c>
      <c r="AA48" s="20">
        <f>'伤害统计(理想)'!AA48</f>
        <v>0</v>
      </c>
      <c r="AB48" s="20">
        <f>'伤害统计(理想)'!AB48</f>
        <v>0</v>
      </c>
      <c r="AC48" s="29"/>
    </row>
    <row r="49" ht="17.25" spans="1:39">
      <c r="A49" s="20" t="str">
        <f>'伤害统计(理想)'!A49</f>
        <v>两仪化形(3.5</v>
      </c>
      <c r="B49" s="20">
        <f>'伤害统计(理想)'!B49</f>
        <v>0</v>
      </c>
      <c r="C49" s="20">
        <f>'伤害统计(理想)'!C49</f>
        <v>0</v>
      </c>
      <c r="D49" s="20">
        <f>'伤害统计(理想)'!D49</f>
        <v>0</v>
      </c>
      <c r="E49" s="20">
        <f>'伤害统计(理想)'!E49</f>
        <v>0</v>
      </c>
      <c r="F49" s="20">
        <f>'伤害统计(理想)'!F49</f>
        <v>0</v>
      </c>
      <c r="G49" s="20">
        <f>'伤害统计(理想)'!G49</f>
        <v>0</v>
      </c>
      <c r="H49" s="20">
        <f>'伤害统计(理想)'!H49</f>
        <v>0</v>
      </c>
      <c r="I49" s="20">
        <f>'伤害统计(理想)'!I49</f>
        <v>0</v>
      </c>
      <c r="J49" s="20">
        <f>'伤害统计(理想)'!J49</f>
        <v>0</v>
      </c>
      <c r="K49" s="20">
        <f>'伤害统计(理想)'!K49</f>
        <v>0</v>
      </c>
      <c r="L49" s="20">
        <f>'伤害统计(理想)'!L49</f>
        <v>0</v>
      </c>
      <c r="M49" s="20">
        <f>'伤害统计(理想)'!M49</f>
        <v>0</v>
      </c>
      <c r="N49" s="20">
        <f>'伤害统计(理想)'!N49</f>
        <v>10</v>
      </c>
      <c r="O49" s="20" t="str">
        <f>'伤害统计(理想)'!O49</f>
        <v>厚亡</v>
      </c>
      <c r="P49" s="20">
        <f>'伤害统计(理想)'!P49</f>
        <v>0</v>
      </c>
      <c r="Q49" s="20">
        <f>'伤害统计(理想)'!Q49</f>
        <v>0</v>
      </c>
      <c r="R49" s="20">
        <f>'伤害统计(理想)'!R49</f>
        <v>0</v>
      </c>
      <c r="S49" s="20">
        <f>'伤害统计(理想)'!S49</f>
        <v>0</v>
      </c>
      <c r="T49" s="20">
        <f>'伤害统计(理想)'!T49</f>
        <v>0</v>
      </c>
      <c r="U49" s="20">
        <f>'伤害统计(理想)'!U49</f>
        <v>0</v>
      </c>
      <c r="V49" s="20">
        <f>'伤害统计(理想)'!V49</f>
        <v>0</v>
      </c>
      <c r="W49" s="20">
        <f>'伤害统计(理想)'!W49</f>
        <v>0</v>
      </c>
      <c r="X49" s="20">
        <f>'伤害统计(理想)'!X49</f>
        <v>0</v>
      </c>
      <c r="Y49" s="20">
        <f>'伤害统计(理想)'!Y49</f>
        <v>0</v>
      </c>
      <c r="Z49" s="20">
        <f>'伤害统计(理想)'!Z49</f>
        <v>0</v>
      </c>
      <c r="AA49" s="20">
        <f>'伤害统计(理想)'!AA49</f>
        <v>0</v>
      </c>
      <c r="AB49" s="20">
        <f>'伤害统计(理想)'!AB49</f>
        <v>0</v>
      </c>
      <c r="AC49" s="29"/>
      <c r="AE49" s="33"/>
      <c r="AF49" s="33"/>
      <c r="AG49" s="33"/>
      <c r="AH49" s="34"/>
      <c r="AI49" s="34"/>
      <c r="AJ49" s="34"/>
      <c r="AK49" s="34"/>
      <c r="AL49" s="34"/>
      <c r="AM49" s="34"/>
    </row>
    <row r="50" spans="1:29">
      <c r="A50" s="20" t="str">
        <f>'伤害统计(理想)'!A50</f>
        <v>六合1</v>
      </c>
      <c r="B50" s="20">
        <f>'伤害统计(理想)'!B50</f>
        <v>13</v>
      </c>
      <c r="C50" s="20">
        <f>'伤害统计(理想)'!C50</f>
        <v>0</v>
      </c>
      <c r="D50" s="20">
        <f>'伤害统计(理想)'!D50</f>
        <v>0</v>
      </c>
      <c r="E50" s="20">
        <f>'伤害统计(理想)'!E50</f>
        <v>0</v>
      </c>
      <c r="F50" s="20">
        <f>'伤害统计(理想)'!F50</f>
        <v>0</v>
      </c>
      <c r="G50" s="20">
        <f>'伤害统计(理想)'!G50</f>
        <v>0</v>
      </c>
      <c r="H50" s="20">
        <f>'伤害统计(理想)'!H50</f>
        <v>0</v>
      </c>
      <c r="I50" s="20">
        <f>'伤害统计(理想)'!I50</f>
        <v>0</v>
      </c>
      <c r="J50" s="20">
        <f>'伤害统计(理想)'!J50</f>
        <v>28</v>
      </c>
      <c r="K50" s="20">
        <f>'伤害统计(理想)'!K50</f>
        <v>41</v>
      </c>
      <c r="L50" s="20">
        <f>'伤害统计(理想)'!L50</f>
        <v>93</v>
      </c>
      <c r="M50" s="20">
        <f>'伤害统计(理想)'!M50</f>
        <v>65</v>
      </c>
      <c r="N50" s="20">
        <f>'伤害统计(理想)'!N50</f>
        <v>11</v>
      </c>
      <c r="O50" s="20" t="str">
        <f>'伤害统计(理想)'!O50</f>
        <v>昆吾·弦刃</v>
      </c>
      <c r="P50" s="20">
        <f>'伤害统计(理想)'!P50</f>
        <v>16</v>
      </c>
      <c r="Q50" s="20">
        <f>'伤害统计(理想)'!Q50</f>
        <v>810667</v>
      </c>
      <c r="R50" s="20">
        <f>'伤害统计(理想)'!R50</f>
        <v>0.00375348824815646</v>
      </c>
      <c r="S50" s="20">
        <f>'伤害统计(理想)'!S50</f>
        <v>0</v>
      </c>
      <c r="T50" s="20">
        <f>'伤害统计(理想)'!T50</f>
        <v>0</v>
      </c>
      <c r="U50" s="20">
        <f>'伤害统计(理想)'!U50</f>
        <v>0</v>
      </c>
      <c r="V50" s="20">
        <f>'伤害统计(理想)'!V50</f>
        <v>0</v>
      </c>
      <c r="W50" s="20">
        <f>'伤害统计(理想)'!W50</f>
        <v>0</v>
      </c>
      <c r="X50" s="20">
        <f>'伤害统计(理想)'!X50</f>
        <v>0</v>
      </c>
      <c r="Y50" s="20">
        <f>'伤害统计(理想)'!Y50</f>
        <v>0</v>
      </c>
      <c r="Z50" s="20">
        <f>'伤害统计(理想)'!Z50</f>
        <v>0</v>
      </c>
      <c r="AA50" s="20">
        <f>'伤害统计(理想)'!AA50</f>
        <v>0</v>
      </c>
      <c r="AB50" s="20">
        <f>'伤害统计(理想)'!AB50</f>
        <v>0</v>
      </c>
      <c r="AC50" s="29"/>
    </row>
    <row r="51" spans="1:31">
      <c r="A51" s="20" t="str">
        <f>'伤害统计(理想)'!A51</f>
        <v>六合2</v>
      </c>
      <c r="B51" s="20">
        <f>'伤害统计(理想)'!B51</f>
        <v>6</v>
      </c>
      <c r="C51" s="20">
        <f>'伤害统计(理想)'!C51</f>
        <v>0</v>
      </c>
      <c r="D51" s="20">
        <f>'伤害统计(理想)'!D51</f>
        <v>0</v>
      </c>
      <c r="E51" s="20">
        <f>'伤害统计(理想)'!E51</f>
        <v>5</v>
      </c>
      <c r="F51" s="20">
        <f>'伤害统计(理想)'!F51</f>
        <v>0</v>
      </c>
      <c r="G51" s="20">
        <f>'伤害统计(理想)'!G51</f>
        <v>0</v>
      </c>
      <c r="H51" s="20">
        <f>'伤害统计(理想)'!H51</f>
        <v>0</v>
      </c>
      <c r="I51" s="20">
        <f>'伤害统计(理想)'!I51</f>
        <v>2</v>
      </c>
      <c r="J51" s="20">
        <f>'伤害统计(理想)'!J51</f>
        <v>0</v>
      </c>
      <c r="K51" s="20">
        <f>'伤害统计(理想)'!K51</f>
        <v>13</v>
      </c>
      <c r="L51" s="20">
        <f>'伤害统计(理想)'!L51</f>
        <v>0</v>
      </c>
      <c r="M51" s="20">
        <f>'伤害统计(理想)'!M51</f>
        <v>0</v>
      </c>
      <c r="N51" s="20">
        <f>'伤害统计(理想)'!N51</f>
        <v>12</v>
      </c>
      <c r="O51" s="20" t="str">
        <f>'伤害统计(理想)'!O51</f>
        <v>空啸太玄剑·定</v>
      </c>
      <c r="P51" s="20">
        <f>'伤害统计(理想)'!P51</f>
        <v>0</v>
      </c>
      <c r="Q51" s="20">
        <f>'伤害统计(理想)'!Q51</f>
        <v>0</v>
      </c>
      <c r="R51" s="20">
        <f>'伤害统计(理想)'!R51</f>
        <v>0</v>
      </c>
      <c r="S51" s="20">
        <f>'伤害统计(理想)'!S51</f>
        <v>0</v>
      </c>
      <c r="T51" s="20">
        <f>'伤害统计(理想)'!T51</f>
        <v>0</v>
      </c>
      <c r="U51" s="20">
        <f>'伤害统计(理想)'!U51</f>
        <v>0</v>
      </c>
      <c r="V51" s="20">
        <f>'伤害统计(理想)'!V51</f>
        <v>0</v>
      </c>
      <c r="W51" s="20">
        <f>'伤害统计(理想)'!W51</f>
        <v>0</v>
      </c>
      <c r="X51" s="20">
        <f>'伤害统计(理想)'!X51</f>
        <v>0</v>
      </c>
      <c r="Y51" s="20">
        <f>'伤害统计(理想)'!Y51</f>
        <v>0</v>
      </c>
      <c r="Z51" s="20">
        <f>'伤害统计(理想)'!Z51</f>
        <v>0</v>
      </c>
      <c r="AA51" s="20">
        <f>'伤害统计(理想)'!AA51</f>
        <v>0</v>
      </c>
      <c r="AB51" s="20">
        <f>'伤害统计(理想)'!AB51</f>
        <v>0</v>
      </c>
      <c r="AC51" s="29"/>
      <c r="AE51" s="33"/>
    </row>
    <row r="52" spans="1:29">
      <c r="A52" s="20" t="str">
        <f>'伤害统计(理想)'!A52</f>
        <v>六合3</v>
      </c>
      <c r="B52" s="20">
        <f>'伤害统计(理想)'!B52</f>
        <v>6</v>
      </c>
      <c r="C52" s="20">
        <f>'伤害统计(理想)'!C52</f>
        <v>0</v>
      </c>
      <c r="D52" s="20">
        <f>'伤害统计(理想)'!D52</f>
        <v>0</v>
      </c>
      <c r="E52" s="20">
        <f>'伤害统计(理想)'!E52</f>
        <v>5</v>
      </c>
      <c r="F52" s="20">
        <f>'伤害统计(理想)'!F52</f>
        <v>0</v>
      </c>
      <c r="G52" s="20">
        <f>'伤害统计(理想)'!G52</f>
        <v>0</v>
      </c>
      <c r="H52" s="20">
        <f>'伤害统计(理想)'!H52</f>
        <v>0</v>
      </c>
      <c r="I52" s="20">
        <f>'伤害统计(理想)'!I52</f>
        <v>2</v>
      </c>
      <c r="J52" s="20">
        <f>'伤害统计(理想)'!J52</f>
        <v>0</v>
      </c>
      <c r="K52" s="20">
        <f>'伤害统计(理想)'!K52</f>
        <v>13</v>
      </c>
      <c r="L52" s="20">
        <f>'伤害统计(理想)'!L52</f>
        <v>0</v>
      </c>
      <c r="M52" s="20">
        <f>'伤害统计(理想)'!M52</f>
        <v>0</v>
      </c>
      <c r="N52" s="20">
        <f>'伤害统计(理想)'!N52</f>
        <v>13</v>
      </c>
      <c r="O52" s="20" t="str">
        <f>'伤害统计(理想)'!O52</f>
        <v>刃凌</v>
      </c>
      <c r="P52" s="20">
        <f>'伤害统计(理想)'!P52</f>
        <v>23</v>
      </c>
      <c r="Q52" s="20">
        <f>'伤害统计(理想)'!Q52</f>
        <v>732384</v>
      </c>
      <c r="R52" s="20">
        <f>'伤害统计(理想)'!R52</f>
        <v>0.00339102829785575</v>
      </c>
      <c r="S52" s="20">
        <f>'伤害统计(理想)'!S52</f>
        <v>0</v>
      </c>
      <c r="T52" s="20">
        <f>'伤害统计(理想)'!T52</f>
        <v>0</v>
      </c>
      <c r="U52" s="20">
        <f>'伤害统计(理想)'!U52</f>
        <v>0</v>
      </c>
      <c r="V52" s="20">
        <f>'伤害统计(理想)'!V52</f>
        <v>0</v>
      </c>
      <c r="W52" s="20">
        <f>'伤害统计(理想)'!W52</f>
        <v>0</v>
      </c>
      <c r="X52" s="20">
        <f>'伤害统计(理想)'!X52</f>
        <v>0</v>
      </c>
      <c r="Y52" s="20">
        <f>'伤害统计(理想)'!Y52</f>
        <v>0</v>
      </c>
      <c r="Z52" s="20">
        <f>'伤害统计(理想)'!Z52</f>
        <v>0</v>
      </c>
      <c r="AA52" s="20">
        <f>'伤害统计(理想)'!AA52</f>
        <v>0</v>
      </c>
      <c r="AB52" s="20">
        <f>'伤害统计(理想)'!AB52</f>
        <v>0</v>
      </c>
      <c r="AC52" s="29"/>
    </row>
    <row r="53" spans="1:31">
      <c r="A53" s="20" t="str">
        <f>'伤害统计(理想)'!A53</f>
        <v>六合4</v>
      </c>
      <c r="B53" s="20">
        <f>'伤害统计(理想)'!B53</f>
        <v>6</v>
      </c>
      <c r="C53" s="20">
        <f>'伤害统计(理想)'!C53</f>
        <v>0</v>
      </c>
      <c r="D53" s="20">
        <f>'伤害统计(理想)'!D53</f>
        <v>0</v>
      </c>
      <c r="E53" s="20">
        <f>'伤害统计(理想)'!E53</f>
        <v>5</v>
      </c>
      <c r="F53" s="20">
        <f>'伤害统计(理想)'!F53</f>
        <v>0</v>
      </c>
      <c r="G53" s="20">
        <f>'伤害统计(理想)'!G53</f>
        <v>0</v>
      </c>
      <c r="H53" s="20">
        <f>'伤害统计(理想)'!H53</f>
        <v>0</v>
      </c>
      <c r="I53" s="20">
        <f>'伤害统计(理想)'!I53</f>
        <v>2</v>
      </c>
      <c r="J53" s="20">
        <f>'伤害统计(理想)'!J53</f>
        <v>0</v>
      </c>
      <c r="K53" s="20">
        <f>'伤害统计(理想)'!K53</f>
        <v>13</v>
      </c>
      <c r="L53" s="20">
        <f>'伤害统计(理想)'!L53</f>
        <v>0</v>
      </c>
      <c r="M53" s="20">
        <f>'伤害统计(理想)'!M53</f>
        <v>0</v>
      </c>
      <c r="N53" s="20">
        <f>'伤害统计(理想)'!N53</f>
        <v>14</v>
      </c>
      <c r="O53" s="20" t="str">
        <f>'伤害统计(理想)'!O53</f>
        <v>五方行尽</v>
      </c>
      <c r="P53" s="20">
        <f>'伤害统计(理想)'!P53</f>
        <v>7</v>
      </c>
      <c r="Q53" s="20">
        <f>'伤害统计(理想)'!Q53</f>
        <v>370682</v>
      </c>
      <c r="R53" s="20">
        <f>'伤害统计(理想)'!R53</f>
        <v>0.00171630340300411</v>
      </c>
      <c r="S53" s="20">
        <f>'伤害统计(理想)'!S53</f>
        <v>0</v>
      </c>
      <c r="T53" s="20">
        <f>'伤害统计(理想)'!T53</f>
        <v>0</v>
      </c>
      <c r="U53" s="20">
        <f>'伤害统计(理想)'!U53</f>
        <v>0</v>
      </c>
      <c r="V53" s="20">
        <f>'伤害统计(理想)'!V53</f>
        <v>0</v>
      </c>
      <c r="W53" s="20">
        <f>'伤害统计(理想)'!W53</f>
        <v>0</v>
      </c>
      <c r="X53" s="20">
        <f>'伤害统计(理想)'!X53</f>
        <v>0</v>
      </c>
      <c r="Y53" s="20">
        <f>'伤害统计(理想)'!Y53</f>
        <v>0</v>
      </c>
      <c r="Z53" s="20">
        <f>'伤害统计(理想)'!Z53</f>
        <v>0</v>
      </c>
      <c r="AA53" s="20">
        <f>'伤害统计(理想)'!AA53</f>
        <v>0</v>
      </c>
      <c r="AB53" s="20">
        <f>'伤害统计(理想)'!AB53</f>
        <v>0</v>
      </c>
      <c r="AC53" s="29"/>
      <c r="AE53" s="33"/>
    </row>
    <row r="54" spans="1:29">
      <c r="A54" s="20" t="str">
        <f>'伤害统计(理想)'!A54</f>
        <v>六合5</v>
      </c>
      <c r="B54" s="20">
        <f>'伤害统计(理想)'!B54</f>
        <v>6</v>
      </c>
      <c r="C54" s="20">
        <f>'伤害统计(理想)'!C54</f>
        <v>0</v>
      </c>
      <c r="D54" s="20">
        <f>'伤害统计(理想)'!D54</f>
        <v>0</v>
      </c>
      <c r="E54" s="20">
        <f>'伤害统计(理想)'!E54</f>
        <v>5</v>
      </c>
      <c r="F54" s="20">
        <f>'伤害统计(理想)'!F54</f>
        <v>0</v>
      </c>
      <c r="G54" s="20">
        <f>'伤害统计(理想)'!G54</f>
        <v>0</v>
      </c>
      <c r="H54" s="20">
        <f>'伤害统计(理想)'!H54</f>
        <v>0</v>
      </c>
      <c r="I54" s="20">
        <f>'伤害统计(理想)'!I54</f>
        <v>2</v>
      </c>
      <c r="J54" s="20">
        <f>'伤害统计(理想)'!J54</f>
        <v>0</v>
      </c>
      <c r="K54" s="20">
        <f>'伤害统计(理想)'!K54</f>
        <v>13</v>
      </c>
      <c r="L54" s="20">
        <f>'伤害统计(理想)'!L54</f>
        <v>0</v>
      </c>
      <c r="M54" s="20">
        <f>'伤害统计(理想)'!M54</f>
        <v>0</v>
      </c>
      <c r="N54" s="20">
        <f>'伤害统计(理想)'!N54</f>
        <v>15</v>
      </c>
      <c r="O54" s="20" t="str">
        <f>'伤害统计(理想)'!O54</f>
        <v>三才化生</v>
      </c>
      <c r="P54" s="20">
        <f>'伤害统计(理想)'!P54</f>
        <v>14</v>
      </c>
      <c r="Q54" s="20">
        <f>'伤害统计(理想)'!Q54</f>
        <v>110917</v>
      </c>
      <c r="R54" s="20">
        <f>'伤害统计(理想)'!R54</f>
        <v>0.000513559397410738</v>
      </c>
      <c r="S54" s="20">
        <f>'伤害统计(理想)'!S54</f>
        <v>0</v>
      </c>
      <c r="T54" s="20">
        <f>'伤害统计(理想)'!T54</f>
        <v>0</v>
      </c>
      <c r="U54" s="20">
        <f>'伤害统计(理想)'!U54</f>
        <v>0</v>
      </c>
      <c r="V54" s="20">
        <f>'伤害统计(理想)'!V54</f>
        <v>0</v>
      </c>
      <c r="W54" s="20">
        <f>'伤害统计(理想)'!W54</f>
        <v>0</v>
      </c>
      <c r="X54" s="20">
        <f>'伤害统计(理想)'!X54</f>
        <v>0</v>
      </c>
      <c r="Y54" s="20">
        <f>'伤害统计(理想)'!Y54</f>
        <v>0</v>
      </c>
      <c r="Z54" s="20">
        <f>'伤害统计(理想)'!Z54</f>
        <v>0</v>
      </c>
      <c r="AA54" s="20">
        <f>'伤害统计(理想)'!AA54</f>
        <v>0</v>
      </c>
      <c r="AB54" s="20">
        <f>'伤害统计(理想)'!AB54</f>
        <v>0</v>
      </c>
      <c r="AC54" s="29"/>
    </row>
    <row r="55" spans="1:31">
      <c r="A55" s="20" t="str">
        <f>'伤害统计(理想)'!A55</f>
        <v>破</v>
      </c>
      <c r="B55" s="20">
        <f>'伤害统计(理想)'!B55</f>
        <v>54</v>
      </c>
      <c r="C55" s="20">
        <f>'伤害统计(理想)'!C55</f>
        <v>0</v>
      </c>
      <c r="D55" s="20">
        <f>'伤害统计(理想)'!D55</f>
        <v>5</v>
      </c>
      <c r="E55" s="20">
        <f>'伤害统计(理想)'!E55</f>
        <v>15</v>
      </c>
      <c r="F55" s="20">
        <f>'伤害统计(理想)'!F55</f>
        <v>2</v>
      </c>
      <c r="G55" s="20">
        <f>'伤害统计(理想)'!G55</f>
        <v>0</v>
      </c>
      <c r="H55" s="20">
        <f>'伤害统计(理想)'!H55</f>
        <v>2</v>
      </c>
      <c r="I55" s="20">
        <f>'伤害统计(理想)'!I55</f>
        <v>6</v>
      </c>
      <c r="J55" s="20">
        <f>'伤害统计(理想)'!J55</f>
        <v>0</v>
      </c>
      <c r="K55" s="20">
        <f>'伤害统计(理想)'!K55</f>
        <v>84</v>
      </c>
      <c r="L55" s="20">
        <f>'伤害统计(理想)'!L55</f>
        <v>91</v>
      </c>
      <c r="M55" s="20">
        <f>'伤害统计(理想)'!M55</f>
        <v>0</v>
      </c>
      <c r="N55" s="20">
        <f>'伤害统计(理想)'!N55</f>
        <v>16</v>
      </c>
      <c r="O55" s="20" t="str">
        <f>'伤害统计(理想)'!O55</f>
        <v>气竭(DOT)</v>
      </c>
      <c r="P55" s="20">
        <f>'伤害统计(理想)'!P55</f>
        <v>0</v>
      </c>
      <c r="Q55" s="20">
        <f>'伤害统计(理想)'!Q55</f>
        <v>0</v>
      </c>
      <c r="R55" s="20">
        <f>'伤害统计(理想)'!R55</f>
        <v>0</v>
      </c>
      <c r="S55" s="20">
        <f>'伤害统计(理想)'!S55</f>
        <v>0</v>
      </c>
      <c r="T55" s="20">
        <f>'伤害统计(理想)'!T55</f>
        <v>0</v>
      </c>
      <c r="U55" s="20">
        <f>'伤害统计(理想)'!U55</f>
        <v>0</v>
      </c>
      <c r="V55" s="20">
        <f>'伤害统计(理想)'!V55</f>
        <v>0</v>
      </c>
      <c r="W55" s="20">
        <f>'伤害统计(理想)'!W55</f>
        <v>0</v>
      </c>
      <c r="X55" s="20">
        <f>'伤害统计(理想)'!X55</f>
        <v>0</v>
      </c>
      <c r="Y55" s="20">
        <f>'伤害统计(理想)'!Y55</f>
        <v>0</v>
      </c>
      <c r="Z55" s="20">
        <f>'伤害统计(理想)'!Z55</f>
        <v>0</v>
      </c>
      <c r="AA55" s="20">
        <f>'伤害统计(理想)'!AA55</f>
        <v>0</v>
      </c>
      <c r="AB55" s="20">
        <f>'伤害统计(理想)'!AB55</f>
        <v>0</v>
      </c>
      <c r="AC55" s="29"/>
      <c r="AE55" s="33"/>
    </row>
    <row r="56" spans="1:29">
      <c r="A56" s="20" t="str">
        <f>'伤害统计(理想)'!A56</f>
        <v>破(4</v>
      </c>
      <c r="B56" s="20">
        <f>'伤害统计(理想)'!B56</f>
        <v>0</v>
      </c>
      <c r="C56" s="20">
        <f>'伤害统计(理想)'!C56</f>
        <v>0</v>
      </c>
      <c r="D56" s="20">
        <f>'伤害统计(理想)'!D56</f>
        <v>0</v>
      </c>
      <c r="E56" s="20">
        <f>'伤害统计(理想)'!E56</f>
        <v>0</v>
      </c>
      <c r="F56" s="20">
        <f>'伤害统计(理想)'!F56</f>
        <v>0</v>
      </c>
      <c r="G56" s="20">
        <f>'伤害统计(理想)'!G56</f>
        <v>0</v>
      </c>
      <c r="H56" s="20">
        <f>'伤害统计(理想)'!H56</f>
        <v>0</v>
      </c>
      <c r="I56" s="20">
        <f>'伤害统计(理想)'!I56</f>
        <v>0</v>
      </c>
      <c r="J56" s="20">
        <f>'伤害统计(理想)'!J56</f>
        <v>0</v>
      </c>
      <c r="K56" s="20">
        <f>'伤害统计(理想)'!K56</f>
        <v>0</v>
      </c>
      <c r="L56" s="20">
        <f>'伤害统计(理想)'!L56</f>
        <v>0</v>
      </c>
      <c r="M56" s="20">
        <f>'伤害统计(理想)'!M56</f>
        <v>0</v>
      </c>
      <c r="N56" s="20">
        <f>'伤害统计(理想)'!N56</f>
        <v>17</v>
      </c>
      <c r="O56" s="20" t="str">
        <f>'伤害统计(理想)'!O56</f>
        <v>星辰</v>
      </c>
      <c r="P56" s="20">
        <f>'伤害统计(理想)'!P56</f>
        <v>0</v>
      </c>
      <c r="Q56" s="20">
        <f>'伤害统计(理想)'!Q56</f>
        <v>0</v>
      </c>
      <c r="R56" s="20">
        <f>'伤害统计(理想)'!R56</f>
        <v>0</v>
      </c>
      <c r="S56" s="20">
        <f>'伤害统计(理想)'!S56</f>
        <v>0</v>
      </c>
      <c r="T56" s="20">
        <f>'伤害统计(理想)'!T56</f>
        <v>0</v>
      </c>
      <c r="U56" s="20">
        <f>'伤害统计(理想)'!U56</f>
        <v>0</v>
      </c>
      <c r="V56" s="20">
        <f>'伤害统计(理想)'!V56</f>
        <v>0</v>
      </c>
      <c r="W56" s="20">
        <f>'伤害统计(理想)'!W56</f>
        <v>0</v>
      </c>
      <c r="X56" s="20">
        <f>'伤害统计(理想)'!X56</f>
        <v>0</v>
      </c>
      <c r="Y56" s="20">
        <f>'伤害统计(理想)'!Y56</f>
        <v>0</v>
      </c>
      <c r="Z56" s="20">
        <f>'伤害统计(理想)'!Z56</f>
        <v>0</v>
      </c>
      <c r="AA56" s="20">
        <f>'伤害统计(理想)'!AA56</f>
        <v>0</v>
      </c>
      <c r="AB56" s="20">
        <f>'伤害统计(理想)'!AB56</f>
        <v>0</v>
      </c>
      <c r="AC56" s="29"/>
    </row>
    <row r="57" spans="1:29">
      <c r="A57" s="20" t="str">
        <f>'伤害统计(理想)'!A57</f>
        <v>破(万世二段</v>
      </c>
      <c r="B57" s="20">
        <f>'伤害统计(理想)'!B57</f>
        <v>7</v>
      </c>
      <c r="C57" s="20">
        <f>'伤害统计(理想)'!C57</f>
        <v>0</v>
      </c>
      <c r="D57" s="20">
        <f>'伤害统计(理想)'!D57</f>
        <v>0</v>
      </c>
      <c r="E57" s="20">
        <f>'伤害统计(理想)'!E57</f>
        <v>0</v>
      </c>
      <c r="F57" s="20">
        <f>'伤害统计(理想)'!F57</f>
        <v>0</v>
      </c>
      <c r="G57" s="20">
        <f>'伤害统计(理想)'!G57</f>
        <v>0</v>
      </c>
      <c r="H57" s="20">
        <f>'伤害统计(理想)'!H57</f>
        <v>0</v>
      </c>
      <c r="I57" s="20">
        <f>'伤害统计(理想)'!I57</f>
        <v>0</v>
      </c>
      <c r="J57" s="20">
        <f>'伤害统计(理想)'!J57</f>
        <v>0</v>
      </c>
      <c r="K57" s="20">
        <f>'伤害统计(理想)'!K57</f>
        <v>7</v>
      </c>
      <c r="L57" s="20">
        <f>'伤害统计(理想)'!L57</f>
        <v>0</v>
      </c>
      <c r="M57" s="20">
        <f>'伤害统计(理想)'!M57</f>
        <v>0</v>
      </c>
      <c r="N57" s="20">
        <f>'伤害统计(理想)'!N57</f>
        <v>18</v>
      </c>
      <c r="O57" s="20" t="str">
        <f>'伤害统计(理想)'!O57</f>
        <v>四象轮回·神兵</v>
      </c>
      <c r="P57" s="20">
        <f>'伤害统计(理想)'!P57</f>
        <v>0</v>
      </c>
      <c r="Q57" s="20">
        <f>'伤害统计(理想)'!Q57</f>
        <v>0</v>
      </c>
      <c r="R57" s="20">
        <f>'伤害统计(理想)'!R57</f>
        <v>0</v>
      </c>
      <c r="S57" s="20">
        <f>'伤害统计(理想)'!S57</f>
        <v>0</v>
      </c>
      <c r="T57" s="20">
        <f>'伤害统计(理想)'!T57</f>
        <v>0</v>
      </c>
      <c r="U57" s="20">
        <f>'伤害统计(理想)'!U57</f>
        <v>0</v>
      </c>
      <c r="V57" s="20">
        <f>'伤害统计(理想)'!V57</f>
        <v>0</v>
      </c>
      <c r="W57" s="20">
        <f>'伤害统计(理想)'!W57</f>
        <v>0</v>
      </c>
      <c r="X57" s="20">
        <f>'伤害统计(理想)'!X57</f>
        <v>0</v>
      </c>
      <c r="Y57" s="20">
        <f>'伤害统计(理想)'!Y57</f>
        <v>0</v>
      </c>
      <c r="Z57" s="20">
        <f>'伤害统计(理想)'!Z57</f>
        <v>0</v>
      </c>
      <c r="AA57" s="20">
        <f>'伤害统计(理想)'!AA57</f>
        <v>0</v>
      </c>
      <c r="AB57" s="20">
        <f>'伤害统计(理想)'!AB57</f>
        <v>0</v>
      </c>
      <c r="AC57" s="29"/>
    </row>
    <row r="58" spans="1:29">
      <c r="A58" s="20" t="str">
        <f>'伤害统计(理想)'!A58</f>
        <v>三才化生</v>
      </c>
      <c r="B58" s="20">
        <f>'伤害统计(理想)'!B58</f>
        <v>14</v>
      </c>
      <c r="C58" s="20">
        <f>'伤害统计(理想)'!C58</f>
        <v>0</v>
      </c>
      <c r="D58" s="20">
        <f>'伤害统计(理想)'!D58</f>
        <v>0</v>
      </c>
      <c r="E58" s="20">
        <f>'伤害统计(理想)'!E58</f>
        <v>0</v>
      </c>
      <c r="F58" s="20">
        <f>'伤害统计(理想)'!F58</f>
        <v>0</v>
      </c>
      <c r="G58" s="20">
        <f>'伤害统计(理想)'!G58</f>
        <v>0</v>
      </c>
      <c r="H58" s="20">
        <f>'伤害统计(理想)'!H58</f>
        <v>0</v>
      </c>
      <c r="I58" s="20">
        <f>'伤害统计(理想)'!I58</f>
        <v>0</v>
      </c>
      <c r="J58" s="20">
        <f>'伤害统计(理想)'!J58</f>
        <v>0</v>
      </c>
      <c r="K58" s="20">
        <f>'伤害统计(理想)'!K58</f>
        <v>14</v>
      </c>
      <c r="L58" s="20">
        <f>'伤害统计(理想)'!L58</f>
        <v>14</v>
      </c>
      <c r="M58" s="20">
        <f>'伤害统计(理想)'!M58</f>
        <v>0</v>
      </c>
      <c r="N58" s="20">
        <f>'伤害统计(理想)'!N58</f>
        <v>0</v>
      </c>
      <c r="O58" s="20">
        <f>'伤害统计(理想)'!O58</f>
        <v>0</v>
      </c>
      <c r="P58" s="20">
        <f>'伤害统计(理想)'!P58</f>
        <v>0</v>
      </c>
      <c r="Q58" s="20">
        <f>'伤害统计(理想)'!Q58</f>
        <v>0</v>
      </c>
      <c r="R58" s="20">
        <f>'伤害统计(理想)'!R58</f>
        <v>0</v>
      </c>
      <c r="S58" s="20">
        <f>'伤害统计(理想)'!S58</f>
        <v>0</v>
      </c>
      <c r="T58" s="20">
        <f>'伤害统计(理想)'!T58</f>
        <v>0</v>
      </c>
      <c r="U58" s="20">
        <f>'伤害统计(理想)'!U58</f>
        <v>0</v>
      </c>
      <c r="V58" s="20">
        <f>'伤害统计(理想)'!V58</f>
        <v>0</v>
      </c>
      <c r="W58" s="20">
        <f>'伤害统计(理想)'!W58</f>
        <v>0</v>
      </c>
      <c r="X58" s="20">
        <f>'伤害统计(理想)'!X58</f>
        <v>0</v>
      </c>
      <c r="Y58" s="20">
        <f>'伤害统计(理想)'!Y58</f>
        <v>0</v>
      </c>
      <c r="Z58" s="20">
        <f>'伤害统计(理想)'!Z58</f>
        <v>0</v>
      </c>
      <c r="AA58" s="20">
        <f>'伤害统计(理想)'!AA58</f>
        <v>0</v>
      </c>
      <c r="AB58" s="20">
        <f>'伤害统计(理想)'!AB58</f>
        <v>0</v>
      </c>
      <c r="AC58" s="29"/>
    </row>
    <row r="59" spans="1:28">
      <c r="A59" s="20" t="str">
        <f>'伤害统计(理想)'!A59</f>
        <v>厚亡</v>
      </c>
      <c r="B59" s="20">
        <f>'伤害统计(理想)'!B59</f>
        <v>0</v>
      </c>
      <c r="C59" s="20">
        <f>'伤害统计(理想)'!C59</f>
        <v>0</v>
      </c>
      <c r="D59" s="20">
        <f>'伤害统计(理想)'!D59</f>
        <v>0</v>
      </c>
      <c r="E59" s="20">
        <f>'伤害统计(理想)'!E59</f>
        <v>0</v>
      </c>
      <c r="F59" s="20">
        <f>'伤害统计(理想)'!F59</f>
        <v>0</v>
      </c>
      <c r="G59" s="20">
        <f>'伤害统计(理想)'!G59</f>
        <v>0</v>
      </c>
      <c r="H59" s="20">
        <f>'伤害统计(理想)'!H59</f>
        <v>0</v>
      </c>
      <c r="I59" s="20">
        <f>'伤害统计(理想)'!I59</f>
        <v>0</v>
      </c>
      <c r="J59" s="20">
        <f>'伤害统计(理想)'!J59</f>
        <v>0</v>
      </c>
      <c r="K59" s="20">
        <f>'伤害统计(理想)'!K59</f>
        <v>0</v>
      </c>
      <c r="L59" s="20">
        <f>'伤害统计(理想)'!L59</f>
        <v>0</v>
      </c>
      <c r="M59" s="20">
        <f>'伤害统计(理想)'!M59</f>
        <v>0</v>
      </c>
      <c r="N59" s="20">
        <f>'伤害统计(理想)'!N59</f>
        <v>0</v>
      </c>
      <c r="O59" s="20">
        <f>'伤害统计(理想)'!O59</f>
        <v>0</v>
      </c>
      <c r="P59" s="20">
        <f>'伤害统计(理想)'!P59</f>
        <v>0</v>
      </c>
      <c r="Q59" s="20">
        <f>'伤害统计(理想)'!Q59</f>
        <v>0</v>
      </c>
      <c r="R59" s="20">
        <f>'伤害统计(理想)'!R59</f>
        <v>0</v>
      </c>
      <c r="S59" s="20">
        <f>'伤害统计(理想)'!S59</f>
        <v>0</v>
      </c>
      <c r="T59" s="20">
        <f>'伤害统计(理想)'!T59</f>
        <v>0</v>
      </c>
      <c r="U59" s="20">
        <f>'伤害统计(理想)'!U59</f>
        <v>0</v>
      </c>
      <c r="V59" s="20">
        <f>'伤害统计(理想)'!V59</f>
        <v>0</v>
      </c>
      <c r="W59" s="20">
        <f>'伤害统计(理想)'!W59</f>
        <v>0</v>
      </c>
      <c r="X59" s="20">
        <f>'伤害统计(理想)'!X59</f>
        <v>0</v>
      </c>
      <c r="Y59" s="20">
        <f>'伤害统计(理想)'!Y59</f>
        <v>0</v>
      </c>
      <c r="Z59" s="20">
        <f>'伤害统计(理想)'!Z59</f>
        <v>0</v>
      </c>
      <c r="AA59" s="20">
        <f>'伤害统计(理想)'!AA59</f>
        <v>0</v>
      </c>
      <c r="AB59" s="20">
        <f>'伤害统计(理想)'!AB59</f>
        <v>0</v>
      </c>
    </row>
    <row r="60" spans="1:28">
      <c r="A60" s="20" t="str">
        <f>'伤害统计(理想)'!A60</f>
        <v>刃凌</v>
      </c>
      <c r="B60" s="20">
        <f>'伤害统计(理想)'!B60</f>
        <v>16</v>
      </c>
      <c r="C60" s="20">
        <f>'伤害统计(理想)'!C60</f>
        <v>0</v>
      </c>
      <c r="D60" s="20">
        <f>'伤害统计(理想)'!D60</f>
        <v>0</v>
      </c>
      <c r="E60" s="20">
        <f>'伤害统计(理想)'!E60</f>
        <v>5</v>
      </c>
      <c r="F60" s="20">
        <f>'伤害统计(理想)'!F60</f>
        <v>2</v>
      </c>
      <c r="G60" s="20">
        <f>'伤害统计(理想)'!G60</f>
        <v>0</v>
      </c>
      <c r="H60" s="20">
        <f>'伤害统计(理想)'!H60</f>
        <v>0</v>
      </c>
      <c r="I60" s="20">
        <f>'伤害统计(理想)'!I60</f>
        <v>0</v>
      </c>
      <c r="J60" s="20">
        <f>'伤害统计(理想)'!J60</f>
        <v>0</v>
      </c>
      <c r="K60" s="20">
        <f>'伤害统计(理想)'!K60</f>
        <v>23</v>
      </c>
      <c r="L60" s="20">
        <f>'伤害统计(理想)'!L60</f>
        <v>23</v>
      </c>
      <c r="M60" s="20">
        <f>'伤害统计(理想)'!M60</f>
        <v>0</v>
      </c>
      <c r="N60" s="20">
        <f>'伤害统计(理想)'!N60</f>
        <v>0</v>
      </c>
      <c r="O60" s="20">
        <f>'伤害统计(理想)'!O60</f>
        <v>0</v>
      </c>
      <c r="P60" s="20">
        <f>'伤害统计(理想)'!P60</f>
        <v>0</v>
      </c>
      <c r="Q60" s="20">
        <f>'伤害统计(理想)'!Q60</f>
        <v>0</v>
      </c>
      <c r="R60" s="20">
        <f>'伤害统计(理想)'!R60</f>
        <v>0</v>
      </c>
      <c r="S60" s="20">
        <f>'伤害统计(理想)'!S60</f>
        <v>0</v>
      </c>
      <c r="T60" s="20">
        <f>'伤害统计(理想)'!T60</f>
        <v>0</v>
      </c>
      <c r="U60" s="20">
        <f>'伤害统计(理想)'!U60</f>
        <v>0</v>
      </c>
      <c r="V60" s="20">
        <f>'伤害统计(理想)'!V60</f>
        <v>0</v>
      </c>
      <c r="W60" s="20">
        <f>'伤害统计(理想)'!W60</f>
        <v>0</v>
      </c>
      <c r="X60" s="20">
        <f>'伤害统计(理想)'!X60</f>
        <v>0</v>
      </c>
      <c r="Y60" s="20">
        <f>'伤害统计(理想)'!Y60</f>
        <v>0</v>
      </c>
      <c r="Z60" s="20">
        <f>'伤害统计(理想)'!Z60</f>
        <v>0</v>
      </c>
      <c r="AA60" s="20">
        <f>'伤害统计(理想)'!AA60</f>
        <v>0</v>
      </c>
      <c r="AB60" s="20">
        <f>'伤害统计(理想)'!AB60</f>
        <v>0</v>
      </c>
    </row>
    <row r="61" spans="1:28">
      <c r="A61" s="20" t="str">
        <f>'伤害统计(理想)'!A61</f>
        <v>昆吾·弦刃</v>
      </c>
      <c r="B61" s="20">
        <f>'伤害统计(理想)'!B61</f>
        <v>14</v>
      </c>
      <c r="C61" s="20">
        <f>'伤害统计(理想)'!C61</f>
        <v>0</v>
      </c>
      <c r="D61" s="20">
        <f>'伤害统计(理想)'!D61</f>
        <v>0</v>
      </c>
      <c r="E61" s="20">
        <f>'伤害统计(理想)'!E61</f>
        <v>2</v>
      </c>
      <c r="F61" s="20">
        <f>'伤害统计(理想)'!F61</f>
        <v>0</v>
      </c>
      <c r="G61" s="20">
        <f>'伤害统计(理想)'!G61</f>
        <v>0</v>
      </c>
      <c r="H61" s="20">
        <f>'伤害统计(理想)'!H61</f>
        <v>0</v>
      </c>
      <c r="I61" s="20">
        <f>'伤害统计(理想)'!I61</f>
        <v>0</v>
      </c>
      <c r="J61" s="20">
        <f>'伤害统计(理想)'!J61</f>
        <v>0</v>
      </c>
      <c r="K61" s="20">
        <f>'伤害统计(理想)'!K61</f>
        <v>16</v>
      </c>
      <c r="L61" s="20">
        <f>'伤害统计(理想)'!L61</f>
        <v>16</v>
      </c>
      <c r="M61" s="20">
        <f>'伤害统计(理想)'!M61</f>
        <v>0</v>
      </c>
      <c r="N61" s="20">
        <f>'伤害统计(理想)'!N61</f>
        <v>0</v>
      </c>
      <c r="O61" s="20">
        <f>'伤害统计(理想)'!O61</f>
        <v>0</v>
      </c>
      <c r="P61" s="20">
        <f>'伤害统计(理想)'!P61</f>
        <v>0</v>
      </c>
      <c r="Q61" s="20">
        <f>'伤害统计(理想)'!Q61</f>
        <v>0</v>
      </c>
      <c r="R61" s="20">
        <f>'伤害统计(理想)'!R61</f>
        <v>0</v>
      </c>
      <c r="S61" s="20">
        <f>'伤害统计(理想)'!S61</f>
        <v>0</v>
      </c>
      <c r="T61" s="20">
        <f>'伤害统计(理想)'!T61</f>
        <v>0</v>
      </c>
      <c r="U61" s="20">
        <f>'伤害统计(理想)'!U61</f>
        <v>0</v>
      </c>
      <c r="V61" s="20">
        <f>'伤害统计(理想)'!V61</f>
        <v>0</v>
      </c>
      <c r="W61" s="20">
        <f>'伤害统计(理想)'!W61</f>
        <v>0</v>
      </c>
      <c r="X61" s="20">
        <f>'伤害统计(理想)'!X61</f>
        <v>0</v>
      </c>
      <c r="Y61" s="20">
        <f>'伤害统计(理想)'!Y61</f>
        <v>0</v>
      </c>
      <c r="Z61" s="20">
        <f>'伤害统计(理想)'!Z61</f>
        <v>0</v>
      </c>
      <c r="AA61" s="20">
        <f>'伤害统计(理想)'!AA61</f>
        <v>0</v>
      </c>
      <c r="AB61" s="20">
        <f>'伤害统计(理想)'!AB61</f>
        <v>0</v>
      </c>
    </row>
    <row r="62" spans="1:35">
      <c r="A62" s="20" t="str">
        <f>'伤害统计(理想)'!A62</f>
        <v>腾空·三才</v>
      </c>
      <c r="B62" s="20">
        <f>'伤害统计(理想)'!B62</f>
        <v>0</v>
      </c>
      <c r="C62" s="20">
        <f>'伤害统计(理想)'!C62</f>
        <v>0</v>
      </c>
      <c r="D62" s="20">
        <f>'伤害统计(理想)'!D62</f>
        <v>0</v>
      </c>
      <c r="E62" s="20">
        <f>'伤害统计(理想)'!E62</f>
        <v>0</v>
      </c>
      <c r="F62" s="20">
        <f>'伤害统计(理想)'!F62</f>
        <v>0</v>
      </c>
      <c r="G62" s="20">
        <f>'伤害统计(理想)'!G62</f>
        <v>0</v>
      </c>
      <c r="H62" s="20">
        <f>'伤害统计(理想)'!H62</f>
        <v>0</v>
      </c>
      <c r="I62" s="20">
        <f>'伤害统计(理想)'!I62</f>
        <v>0</v>
      </c>
      <c r="J62" s="20">
        <f>'伤害统计(理想)'!J62</f>
        <v>0</v>
      </c>
      <c r="K62" s="20">
        <f>'伤害统计(理想)'!K62</f>
        <v>0</v>
      </c>
      <c r="L62" s="20">
        <f>'伤害统计(理想)'!L62</f>
        <v>0</v>
      </c>
      <c r="M62" s="20">
        <f>'伤害统计(理想)'!M62</f>
        <v>0</v>
      </c>
      <c r="N62" s="20">
        <f>'伤害统计(理想)'!N62</f>
        <v>0</v>
      </c>
      <c r="O62" s="20">
        <f>'伤害统计(理想)'!O62</f>
        <v>0</v>
      </c>
      <c r="P62" s="20">
        <f>'伤害统计(理想)'!P62</f>
        <v>0</v>
      </c>
      <c r="Q62" s="20">
        <f>'伤害统计(理想)'!Q62</f>
        <v>0</v>
      </c>
      <c r="R62" s="20">
        <f>'伤害统计(理想)'!R62</f>
        <v>0</v>
      </c>
      <c r="S62" s="20">
        <f>'伤害统计(理想)'!S62</f>
        <v>0</v>
      </c>
      <c r="T62" s="20">
        <f>'伤害统计(理想)'!T62</f>
        <v>0</v>
      </c>
      <c r="U62" s="20">
        <f>'伤害统计(理想)'!U62</f>
        <v>0</v>
      </c>
      <c r="V62" s="20">
        <f>'伤害统计(理想)'!V62</f>
        <v>0</v>
      </c>
      <c r="W62" s="20">
        <f>'伤害统计(理想)'!W62</f>
        <v>0</v>
      </c>
      <c r="X62" s="20">
        <f>'伤害统计(理想)'!X62</f>
        <v>0</v>
      </c>
      <c r="Y62" s="20">
        <f>'伤害统计(理想)'!Y62</f>
        <v>0</v>
      </c>
      <c r="Z62" s="20">
        <f>'伤害统计(理想)'!Z62</f>
        <v>0</v>
      </c>
      <c r="AA62" s="20">
        <f>'伤害统计(理想)'!AA62</f>
        <v>0</v>
      </c>
      <c r="AB62" s="20">
        <f>'伤害统计(理想)'!AB62</f>
        <v>0</v>
      </c>
      <c r="AH62" s="33"/>
      <c r="AI62" s="33"/>
    </row>
    <row r="63" spans="1:28">
      <c r="A63" s="20" t="str">
        <f>'伤害统计(理想)'!A63</f>
        <v>腾空·凭虚</v>
      </c>
      <c r="B63" s="20">
        <f>'伤害统计(理想)'!B63</f>
        <v>0</v>
      </c>
      <c r="C63" s="20">
        <f>'伤害统计(理想)'!C63</f>
        <v>0</v>
      </c>
      <c r="D63" s="20">
        <f>'伤害统计(理想)'!D63</f>
        <v>0</v>
      </c>
      <c r="E63" s="20">
        <f>'伤害统计(理想)'!E63</f>
        <v>0</v>
      </c>
      <c r="F63" s="20">
        <f>'伤害统计(理想)'!F63</f>
        <v>0</v>
      </c>
      <c r="G63" s="20">
        <f>'伤害统计(理想)'!G63</f>
        <v>0</v>
      </c>
      <c r="H63" s="20">
        <f>'伤害统计(理想)'!H63</f>
        <v>0</v>
      </c>
      <c r="I63" s="20">
        <f>'伤害统计(理想)'!I63</f>
        <v>0</v>
      </c>
      <c r="J63" s="20">
        <f>'伤害统计(理想)'!J63</f>
        <v>0</v>
      </c>
      <c r="K63" s="20">
        <f>'伤害统计(理想)'!K63</f>
        <v>0</v>
      </c>
      <c r="L63" s="20">
        <f>'伤害统计(理想)'!L63</f>
        <v>0</v>
      </c>
      <c r="M63" s="20">
        <f>'伤害统计(理想)'!M63</f>
        <v>0</v>
      </c>
      <c r="N63" s="20">
        <f>'伤害统计(理想)'!N63</f>
        <v>0</v>
      </c>
      <c r="O63" s="20">
        <f>'伤害统计(理想)'!O63</f>
        <v>0</v>
      </c>
      <c r="P63" s="20">
        <f>'伤害统计(理想)'!P63</f>
        <v>0</v>
      </c>
      <c r="Q63" s="20">
        <f>'伤害统计(理想)'!Q63</f>
        <v>0</v>
      </c>
      <c r="R63" s="20">
        <f>'伤害统计(理想)'!R63</f>
        <v>0</v>
      </c>
      <c r="S63" s="20">
        <f>'伤害统计(理想)'!S63</f>
        <v>0</v>
      </c>
      <c r="T63" s="20">
        <f>'伤害统计(理想)'!T63</f>
        <v>0</v>
      </c>
      <c r="U63" s="20">
        <f>'伤害统计(理想)'!U63</f>
        <v>0</v>
      </c>
      <c r="V63" s="20">
        <f>'伤害统计(理想)'!V63</f>
        <v>0</v>
      </c>
      <c r="W63" s="20">
        <f>'伤害统计(理想)'!W63</f>
        <v>0</v>
      </c>
      <c r="X63" s="20">
        <f>'伤害统计(理想)'!X63</f>
        <v>0</v>
      </c>
      <c r="Y63" s="20">
        <f>'伤害统计(理想)'!Y63</f>
        <v>0</v>
      </c>
      <c r="Z63" s="20">
        <f>'伤害统计(理想)'!Z63</f>
        <v>0</v>
      </c>
      <c r="AA63" s="20">
        <f>'伤害统计(理想)'!AA63</f>
        <v>0</v>
      </c>
      <c r="AB63" s="20">
        <f>'伤害统计(理想)'!AB63</f>
        <v>0</v>
      </c>
    </row>
    <row r="64" spans="1:33">
      <c r="A64" s="20" t="str">
        <f>'伤害统计(理想)'!A64</f>
        <v>腾空·凭虚·定</v>
      </c>
      <c r="B64" s="20">
        <f>'伤害统计(理想)'!B64</f>
        <v>0</v>
      </c>
      <c r="C64" s="20">
        <f>'伤害统计(理想)'!C64</f>
        <v>0</v>
      </c>
      <c r="D64" s="20">
        <f>'伤害统计(理想)'!D64</f>
        <v>0</v>
      </c>
      <c r="E64" s="20">
        <f>'伤害统计(理想)'!E64</f>
        <v>0</v>
      </c>
      <c r="F64" s="20">
        <f>'伤害统计(理想)'!F64</f>
        <v>0</v>
      </c>
      <c r="G64" s="20">
        <f>'伤害统计(理想)'!G64</f>
        <v>0</v>
      </c>
      <c r="H64" s="20">
        <f>'伤害统计(理想)'!H64</f>
        <v>0</v>
      </c>
      <c r="I64" s="20">
        <f>'伤害统计(理想)'!I64</f>
        <v>0</v>
      </c>
      <c r="J64" s="20">
        <f>'伤害统计(理想)'!J64</f>
        <v>0</v>
      </c>
      <c r="K64" s="20">
        <f>'伤害统计(理想)'!K64</f>
        <v>0</v>
      </c>
      <c r="L64" s="20">
        <f>'伤害统计(理想)'!L64</f>
        <v>0</v>
      </c>
      <c r="M64" s="20">
        <f>'伤害统计(理想)'!M64</f>
        <v>0</v>
      </c>
      <c r="N64" s="20">
        <f>'伤害统计(理想)'!N64</f>
        <v>0</v>
      </c>
      <c r="O64" s="20">
        <f>'伤害统计(理想)'!O64</f>
        <v>0</v>
      </c>
      <c r="P64" s="20">
        <f>'伤害统计(理想)'!P64</f>
        <v>0</v>
      </c>
      <c r="Q64" s="20">
        <f>'伤害统计(理想)'!Q64</f>
        <v>0</v>
      </c>
      <c r="R64" s="20">
        <f>'伤害统计(理想)'!R64</f>
        <v>0</v>
      </c>
      <c r="S64" s="20">
        <f>'伤害统计(理想)'!S64</f>
        <v>0</v>
      </c>
      <c r="T64" s="20">
        <f>'伤害统计(理想)'!T64</f>
        <v>0</v>
      </c>
      <c r="U64" s="20">
        <f>'伤害统计(理想)'!U64</f>
        <v>0</v>
      </c>
      <c r="V64" s="20">
        <f>'伤害统计(理想)'!V64</f>
        <v>0</v>
      </c>
      <c r="W64" s="20">
        <f>'伤害统计(理想)'!W64</f>
        <v>0</v>
      </c>
      <c r="X64" s="20">
        <f>'伤害统计(理想)'!X64</f>
        <v>0</v>
      </c>
      <c r="Y64" s="20">
        <f>'伤害统计(理想)'!Y64</f>
        <v>0</v>
      </c>
      <c r="Z64" s="20">
        <f>'伤害统计(理想)'!Z64</f>
        <v>0</v>
      </c>
      <c r="AA64" s="20">
        <f>'伤害统计(理想)'!AA64</f>
        <v>0</v>
      </c>
      <c r="AB64" s="20">
        <f>'伤害统计(理想)'!AB64</f>
        <v>0</v>
      </c>
      <c r="AG64" s="33"/>
    </row>
    <row r="65" spans="1:28">
      <c r="A65" s="20" t="str">
        <f>'伤害统计(理想)'!A65</f>
        <v>气竭(DOT)</v>
      </c>
      <c r="B65" s="20">
        <f>'伤害统计(理想)'!B65</f>
        <v>0</v>
      </c>
      <c r="C65" s="20">
        <f>'伤害统计(理想)'!C65</f>
        <v>0</v>
      </c>
      <c r="D65" s="20">
        <f>'伤害统计(理想)'!D65</f>
        <v>0</v>
      </c>
      <c r="E65" s="20">
        <f>'伤害统计(理想)'!E65</f>
        <v>0</v>
      </c>
      <c r="F65" s="20">
        <f>'伤害统计(理想)'!F65</f>
        <v>0</v>
      </c>
      <c r="G65" s="20">
        <f>'伤害统计(理想)'!G65</f>
        <v>0</v>
      </c>
      <c r="H65" s="20">
        <f>'伤害统计(理想)'!H65</f>
        <v>0</v>
      </c>
      <c r="I65" s="20">
        <f>'伤害统计(理想)'!I65</f>
        <v>0</v>
      </c>
      <c r="J65" s="20">
        <f>'伤害统计(理想)'!J65</f>
        <v>0</v>
      </c>
      <c r="K65" s="20">
        <f>'伤害统计(理想)'!K65</f>
        <v>0</v>
      </c>
      <c r="L65" s="20">
        <f>'伤害统计(理想)'!L65</f>
        <v>0</v>
      </c>
      <c r="M65" s="20">
        <f>'伤害统计(理想)'!M65</f>
        <v>0</v>
      </c>
      <c r="N65" s="20">
        <f>'伤害统计(理想)'!N65</f>
        <v>0</v>
      </c>
      <c r="O65" s="20">
        <f>'伤害统计(理想)'!O65</f>
        <v>0</v>
      </c>
      <c r="P65" s="20">
        <f>'伤害统计(理想)'!P65</f>
        <v>0</v>
      </c>
      <c r="Q65" s="20">
        <f>'伤害统计(理想)'!Q65</f>
        <v>0</v>
      </c>
      <c r="R65" s="20">
        <f>'伤害统计(理想)'!R65</f>
        <v>0</v>
      </c>
      <c r="S65" s="20">
        <f>'伤害统计(理想)'!S65</f>
        <v>0</v>
      </c>
      <c r="T65" s="20">
        <f>'伤害统计(理想)'!T65</f>
        <v>0</v>
      </c>
      <c r="U65" s="20">
        <f>'伤害统计(理想)'!U65</f>
        <v>0</v>
      </c>
      <c r="V65" s="20">
        <f>'伤害统计(理想)'!V65</f>
        <v>0</v>
      </c>
      <c r="W65" s="20">
        <f>'伤害统计(理想)'!W65</f>
        <v>0</v>
      </c>
      <c r="X65" s="20">
        <f>'伤害统计(理想)'!X65</f>
        <v>0</v>
      </c>
      <c r="Y65" s="20">
        <f>'伤害统计(理想)'!Y65</f>
        <v>0</v>
      </c>
      <c r="Z65" s="20">
        <f>'伤害统计(理想)'!Z65</f>
        <v>0</v>
      </c>
      <c r="AA65" s="20">
        <f>'伤害统计(理想)'!AA65</f>
        <v>0</v>
      </c>
      <c r="AB65" s="20">
        <f>'伤害统计(理想)'!AB65</f>
        <v>0</v>
      </c>
    </row>
    <row r="66" spans="1:28">
      <c r="A66" s="20" t="str">
        <f>'伤害统计(理想)'!A66</f>
        <v>星辰</v>
      </c>
      <c r="B66" s="20">
        <f>'伤害统计(理想)'!B66</f>
        <v>0</v>
      </c>
      <c r="C66" s="20">
        <f>'伤害统计(理想)'!C66</f>
        <v>0</v>
      </c>
      <c r="D66" s="20">
        <f>'伤害统计(理想)'!D66</f>
        <v>0</v>
      </c>
      <c r="E66" s="20">
        <f>'伤害统计(理想)'!E66</f>
        <v>0</v>
      </c>
      <c r="F66" s="20">
        <f>'伤害统计(理想)'!F66</f>
        <v>0</v>
      </c>
      <c r="G66" s="20">
        <f>'伤害统计(理想)'!G66</f>
        <v>0</v>
      </c>
      <c r="H66" s="20">
        <f>'伤害统计(理想)'!H66</f>
        <v>0</v>
      </c>
      <c r="I66" s="20">
        <f>'伤害统计(理想)'!I66</f>
        <v>0</v>
      </c>
      <c r="J66" s="20">
        <f>'伤害统计(理想)'!J66</f>
        <v>0</v>
      </c>
      <c r="K66" s="20">
        <f>'伤害统计(理想)'!K66</f>
        <v>0</v>
      </c>
      <c r="L66" s="20">
        <f>'伤害统计(理想)'!L66</f>
        <v>0</v>
      </c>
      <c r="M66" s="20">
        <f>'伤害统计(理想)'!M66</f>
        <v>0</v>
      </c>
      <c r="N66" s="20">
        <f>'伤害统计(理想)'!N66</f>
        <v>0</v>
      </c>
      <c r="O66" s="20">
        <f>'伤害统计(理想)'!O66</f>
        <v>0</v>
      </c>
      <c r="P66" s="20">
        <f>'伤害统计(理想)'!P66</f>
        <v>0</v>
      </c>
      <c r="Q66" s="20">
        <f>'伤害统计(理想)'!Q66</f>
        <v>0</v>
      </c>
      <c r="R66" s="20">
        <f>'伤害统计(理想)'!R66</f>
        <v>0</v>
      </c>
      <c r="S66" s="20">
        <f>'伤害统计(理想)'!S66</f>
        <v>0</v>
      </c>
      <c r="T66" s="20">
        <f>'伤害统计(理想)'!T66</f>
        <v>0</v>
      </c>
      <c r="U66" s="20">
        <f>'伤害统计(理想)'!U66</f>
        <v>0</v>
      </c>
      <c r="V66" s="20">
        <f>'伤害统计(理想)'!V66</f>
        <v>0</v>
      </c>
      <c r="W66" s="20">
        <f>'伤害统计(理想)'!W66</f>
        <v>0</v>
      </c>
      <c r="X66" s="20">
        <f>'伤害统计(理想)'!X66</f>
        <v>0</v>
      </c>
      <c r="Y66" s="20">
        <f>'伤害统计(理想)'!Y66</f>
        <v>0</v>
      </c>
      <c r="Z66" s="20">
        <f>'伤害统计(理想)'!Z66</f>
        <v>0</v>
      </c>
      <c r="AA66" s="20">
        <f>'伤害统计(理想)'!AA66</f>
        <v>0</v>
      </c>
      <c r="AB66" s="20">
        <f>'伤害统计(理想)'!AB66</f>
        <v>0</v>
      </c>
    </row>
    <row r="67" spans="1:9">
      <c r="A67" s="20" t="str">
        <f>'伤害统计(理想)'!A67</f>
        <v>四象轮回·神兵</v>
      </c>
      <c r="B67" s="20">
        <f>'伤害统计(理想)'!B67</f>
        <v>0</v>
      </c>
      <c r="C67" s="20">
        <f>'伤害统计(理想)'!C67</f>
        <v>0</v>
      </c>
      <c r="D67" s="20">
        <f>'伤害统计(理想)'!D67</f>
        <v>0</v>
      </c>
      <c r="E67" s="20">
        <f>'伤害统计(理想)'!E67</f>
        <v>0</v>
      </c>
      <c r="F67" s="20">
        <f>'伤害统计(理想)'!F67</f>
        <v>0</v>
      </c>
      <c r="G67" s="20">
        <f>'伤害统计(理想)'!G67</f>
        <v>0</v>
      </c>
      <c r="H67" s="20">
        <f>'伤害统计(理想)'!H67</f>
        <v>0</v>
      </c>
      <c r="I67" s="20">
        <f>'伤害统计(理想)'!I67</f>
        <v>0</v>
      </c>
    </row>
    <row r="69" spans="33:33">
      <c r="AG69" s="33"/>
    </row>
    <row r="70" spans="2:12">
      <c r="B70" s="20" t="s">
        <v>365</v>
      </c>
      <c r="C70" s="20" t="s">
        <v>987</v>
      </c>
      <c r="D70" s="20" t="s">
        <v>988</v>
      </c>
      <c r="E70" s="20" t="s">
        <v>989</v>
      </c>
      <c r="F70" s="20" t="s">
        <v>990</v>
      </c>
      <c r="G70" s="20" t="s">
        <v>991</v>
      </c>
      <c r="H70" s="20" t="s">
        <v>992</v>
      </c>
      <c r="I70" s="20" t="s">
        <v>993</v>
      </c>
      <c r="L70" s="20" t="s">
        <v>996</v>
      </c>
    </row>
    <row r="71" spans="1:12">
      <c r="A71" s="20" t="s">
        <v>959</v>
      </c>
      <c r="B71" s="20">
        <f t="shared" ref="B71:B100" si="17">(AC2*(1-Q2)+AF2*Q2)*B38</f>
        <v>4564044.5494</v>
      </c>
      <c r="C71" s="20">
        <f t="shared" ref="C71:C100" si="18">(AI2*(1-S2)+AJ2*S2)*C38</f>
        <v>0</v>
      </c>
      <c r="D71" s="20">
        <f t="shared" ref="D71:D100" si="19">(AD2*(1-S2)+AG2*S2)*D38</f>
        <v>0</v>
      </c>
      <c r="E71" s="20">
        <f t="shared" ref="E71:E100" si="20">(AD2*(1-S2)+AM2*S2)*E38</f>
        <v>0</v>
      </c>
      <c r="F71" s="20">
        <f t="shared" ref="F71:F100" si="21">(AE2*(1-Q2)+AH2*Q2)*F38</f>
        <v>0</v>
      </c>
      <c r="G71" s="20">
        <f t="shared" ref="G71:G100" si="22">(AK2*(1-S2)+AL2*S2)*G38</f>
        <v>0</v>
      </c>
      <c r="H71" s="20">
        <f t="shared" ref="H71:H100" si="23">(AE2*(1-S2)+AH2*S2)*H38</f>
        <v>0</v>
      </c>
      <c r="I71" s="20">
        <f t="shared" ref="I71:I100" si="24">(AE2*(1-S2)+AN2*S2)*I38</f>
        <v>0</v>
      </c>
      <c r="K71" s="20">
        <f t="shared" ref="K71:K99" si="25">INT(SUM(B71:I71))</f>
        <v>4564044</v>
      </c>
      <c r="L71" s="20">
        <f>K71</f>
        <v>4564044</v>
      </c>
    </row>
    <row r="72" spans="1:12">
      <c r="A72" s="20" t="s">
        <v>960</v>
      </c>
      <c r="B72" s="20">
        <f t="shared" si="17"/>
        <v>7563751.0344</v>
      </c>
      <c r="C72" s="20">
        <f t="shared" si="18"/>
        <v>0</v>
      </c>
      <c r="D72" s="20">
        <f t="shared" si="19"/>
        <v>677309.45</v>
      </c>
      <c r="E72" s="20">
        <f t="shared" si="20"/>
        <v>1453140.085</v>
      </c>
      <c r="F72" s="20">
        <f t="shared" si="21"/>
        <v>273637.3504</v>
      </c>
      <c r="G72" s="20">
        <f t="shared" si="22"/>
        <v>0</v>
      </c>
      <c r="H72" s="20">
        <f t="shared" si="23"/>
        <v>335740.296</v>
      </c>
      <c r="I72" s="20">
        <f t="shared" si="24"/>
        <v>627884.726</v>
      </c>
      <c r="K72" s="20">
        <f t="shared" si="25"/>
        <v>10931462</v>
      </c>
      <c r="L72" s="20">
        <f>SUM(K72:K76)</f>
        <v>68097956</v>
      </c>
    </row>
    <row r="73" spans="1:11">
      <c r="A73" s="20" t="s">
        <v>961</v>
      </c>
      <c r="B73" s="20">
        <f t="shared" si="17"/>
        <v>8493807.2274</v>
      </c>
      <c r="C73" s="20">
        <f t="shared" si="18"/>
        <v>0</v>
      </c>
      <c r="D73" s="20">
        <f t="shared" si="19"/>
        <v>760584.8175</v>
      </c>
      <c r="E73" s="20">
        <f t="shared" si="20"/>
        <v>1631802.435</v>
      </c>
      <c r="F73" s="20">
        <f t="shared" si="21"/>
        <v>307283.5812</v>
      </c>
      <c r="G73" s="20">
        <f t="shared" si="22"/>
        <v>0</v>
      </c>
      <c r="H73" s="20">
        <f t="shared" si="23"/>
        <v>377022.463</v>
      </c>
      <c r="I73" s="20">
        <f t="shared" si="24"/>
        <v>705092.886</v>
      </c>
      <c r="K73" s="20">
        <f t="shared" si="25"/>
        <v>12275593</v>
      </c>
    </row>
    <row r="74" spans="1:11">
      <c r="A74" s="20" t="s">
        <v>962</v>
      </c>
      <c r="B74" s="20">
        <f t="shared" si="17"/>
        <v>9423764.4204</v>
      </c>
      <c r="C74" s="20">
        <f t="shared" si="18"/>
        <v>0</v>
      </c>
      <c r="D74" s="20">
        <f t="shared" si="19"/>
        <v>843863.9025</v>
      </c>
      <c r="E74" s="20">
        <f t="shared" si="20"/>
        <v>1810472.22</v>
      </c>
      <c r="F74" s="20">
        <f t="shared" si="21"/>
        <v>340926.8132</v>
      </c>
      <c r="G74" s="20">
        <f t="shared" si="22"/>
        <v>0</v>
      </c>
      <c r="H74" s="20">
        <f t="shared" si="23"/>
        <v>418301.143</v>
      </c>
      <c r="I74" s="20">
        <f t="shared" si="24"/>
        <v>782288.124</v>
      </c>
      <c r="K74" s="20">
        <f t="shared" si="25"/>
        <v>13619616</v>
      </c>
    </row>
    <row r="75" spans="1:11">
      <c r="A75" s="20" t="s">
        <v>963</v>
      </c>
      <c r="B75" s="20">
        <f t="shared" si="17"/>
        <v>10353672.1728</v>
      </c>
      <c r="C75" s="20">
        <f t="shared" si="18"/>
        <v>0</v>
      </c>
      <c r="D75" s="20">
        <f t="shared" si="19"/>
        <v>927139.27</v>
      </c>
      <c r="E75" s="20">
        <f t="shared" si="20"/>
        <v>1989134.57</v>
      </c>
      <c r="F75" s="20">
        <f t="shared" si="21"/>
        <v>374570.0452</v>
      </c>
      <c r="G75" s="20">
        <f t="shared" si="22"/>
        <v>0</v>
      </c>
      <c r="H75" s="20">
        <f t="shared" si="23"/>
        <v>459579.823</v>
      </c>
      <c r="I75" s="20">
        <f t="shared" si="24"/>
        <v>859486.336</v>
      </c>
      <c r="K75" s="20">
        <f t="shared" si="25"/>
        <v>14963582</v>
      </c>
    </row>
    <row r="76" spans="1:11">
      <c r="A76" s="20" t="s">
        <v>964</v>
      </c>
      <c r="B76" s="20">
        <f t="shared" si="17"/>
        <v>11283728.3658</v>
      </c>
      <c r="C76" s="20">
        <f t="shared" si="18"/>
        <v>0</v>
      </c>
      <c r="D76" s="20">
        <f t="shared" si="19"/>
        <v>1010414.6375</v>
      </c>
      <c r="E76" s="20">
        <f t="shared" si="20"/>
        <v>2167804.355</v>
      </c>
      <c r="F76" s="20">
        <f t="shared" si="21"/>
        <v>408213.2772</v>
      </c>
      <c r="G76" s="20">
        <f t="shared" si="22"/>
        <v>0</v>
      </c>
      <c r="H76" s="20">
        <f t="shared" si="23"/>
        <v>500858.503</v>
      </c>
      <c r="I76" s="20">
        <f t="shared" si="24"/>
        <v>936684.548</v>
      </c>
      <c r="K76" s="20">
        <f t="shared" si="25"/>
        <v>16307703</v>
      </c>
    </row>
    <row r="77" spans="1:12">
      <c r="A77" s="20" t="s">
        <v>965</v>
      </c>
      <c r="B77" s="20">
        <f t="shared" si="17"/>
        <v>2033391.7072</v>
      </c>
      <c r="C77" s="20">
        <f t="shared" si="18"/>
        <v>0</v>
      </c>
      <c r="D77" s="20">
        <f t="shared" si="19"/>
        <v>0</v>
      </c>
      <c r="E77" s="20">
        <f t="shared" si="20"/>
        <v>13706594.95</v>
      </c>
      <c r="F77" s="20">
        <f t="shared" si="21"/>
        <v>0</v>
      </c>
      <c r="G77" s="20">
        <f t="shared" si="22"/>
        <v>0</v>
      </c>
      <c r="H77" s="20">
        <f t="shared" si="23"/>
        <v>0</v>
      </c>
      <c r="I77" s="20">
        <f t="shared" si="24"/>
        <v>5922468.14</v>
      </c>
      <c r="K77" s="20">
        <f t="shared" si="25"/>
        <v>21662454</v>
      </c>
      <c r="L77" s="20">
        <f t="shared" ref="L77:L79" si="26">K77</f>
        <v>21662454</v>
      </c>
    </row>
    <row r="78" spans="1:12">
      <c r="A78" s="35" t="s">
        <v>966</v>
      </c>
      <c r="B78" s="20">
        <f t="shared" si="17"/>
        <v>371493.0968</v>
      </c>
      <c r="C78" s="20">
        <f t="shared" si="18"/>
        <v>0</v>
      </c>
      <c r="D78" s="20">
        <f t="shared" si="19"/>
        <v>0</v>
      </c>
      <c r="E78" s="20">
        <f t="shared" si="20"/>
        <v>0</v>
      </c>
      <c r="F78" s="20">
        <f t="shared" si="21"/>
        <v>0</v>
      </c>
      <c r="G78" s="20">
        <f t="shared" si="22"/>
        <v>0</v>
      </c>
      <c r="H78" s="20">
        <f t="shared" si="23"/>
        <v>0</v>
      </c>
      <c r="I78" s="20">
        <f t="shared" si="24"/>
        <v>0</v>
      </c>
      <c r="K78" s="20">
        <f t="shared" si="25"/>
        <v>371493</v>
      </c>
      <c r="L78" s="20">
        <f t="shared" si="26"/>
        <v>371493</v>
      </c>
    </row>
    <row r="79" spans="1:12">
      <c r="A79" s="20" t="s">
        <v>967</v>
      </c>
      <c r="B79" s="20">
        <f t="shared" si="17"/>
        <v>13206113.0796</v>
      </c>
      <c r="C79" s="20">
        <f t="shared" si="18"/>
        <v>0</v>
      </c>
      <c r="D79" s="20">
        <f t="shared" si="19"/>
        <v>2774019.63</v>
      </c>
      <c r="E79" s="20">
        <f t="shared" si="20"/>
        <v>5975456.775</v>
      </c>
      <c r="F79" s="20">
        <f t="shared" si="21"/>
        <v>1085944.7148</v>
      </c>
      <c r="G79" s="20">
        <f t="shared" si="22"/>
        <v>0</v>
      </c>
      <c r="H79" s="20">
        <f t="shared" si="23"/>
        <v>1293195.867</v>
      </c>
      <c r="I79" s="20">
        <f t="shared" si="24"/>
        <v>2581944.816</v>
      </c>
      <c r="K79" s="20">
        <f t="shared" si="25"/>
        <v>26916674</v>
      </c>
      <c r="L79" s="20">
        <f t="shared" si="26"/>
        <v>26916674</v>
      </c>
    </row>
    <row r="80" spans="1:12">
      <c r="A80" s="20" t="s">
        <v>1001</v>
      </c>
      <c r="B80" s="20">
        <f t="shared" si="17"/>
        <v>11150151.0624</v>
      </c>
      <c r="C80" s="20">
        <f t="shared" si="18"/>
        <v>0</v>
      </c>
      <c r="D80" s="20">
        <f t="shared" si="19"/>
        <v>2333858.8875</v>
      </c>
      <c r="E80" s="20">
        <f t="shared" si="20"/>
        <v>7524151.575</v>
      </c>
      <c r="F80" s="20">
        <f t="shared" si="21"/>
        <v>900574.4344</v>
      </c>
      <c r="G80" s="20">
        <f t="shared" si="22"/>
        <v>0</v>
      </c>
      <c r="H80" s="20">
        <f t="shared" si="23"/>
        <v>1085523.146</v>
      </c>
      <c r="I80" s="20">
        <f t="shared" si="24"/>
        <v>3251135.082</v>
      </c>
      <c r="K80" s="20">
        <f t="shared" si="25"/>
        <v>26245394</v>
      </c>
      <c r="L80" s="20">
        <f>SUM(K80:K82)</f>
        <v>28886267</v>
      </c>
    </row>
    <row r="81" spans="1:11">
      <c r="A81" s="20" t="s">
        <v>969</v>
      </c>
      <c r="B81" s="20">
        <f t="shared" si="17"/>
        <v>2640873.7896</v>
      </c>
      <c r="C81" s="20">
        <f t="shared" si="18"/>
        <v>0</v>
      </c>
      <c r="D81" s="20">
        <f t="shared" si="19"/>
        <v>0</v>
      </c>
      <c r="E81" s="20">
        <f t="shared" si="20"/>
        <v>0</v>
      </c>
      <c r="F81" s="20">
        <f t="shared" si="21"/>
        <v>0</v>
      </c>
      <c r="G81" s="20">
        <f t="shared" si="22"/>
        <v>0</v>
      </c>
      <c r="H81" s="20">
        <f t="shared" si="23"/>
        <v>0</v>
      </c>
      <c r="I81" s="20">
        <f t="shared" si="24"/>
        <v>0</v>
      </c>
      <c r="K81" s="20">
        <f t="shared" si="25"/>
        <v>2640873</v>
      </c>
    </row>
    <row r="82" spans="1:11">
      <c r="A82" s="20" t="s">
        <v>970</v>
      </c>
      <c r="B82" s="20">
        <f t="shared" si="17"/>
        <v>0</v>
      </c>
      <c r="C82" s="20">
        <f t="shared" si="18"/>
        <v>0</v>
      </c>
      <c r="D82" s="20">
        <f t="shared" si="19"/>
        <v>0</v>
      </c>
      <c r="E82" s="20">
        <f t="shared" si="20"/>
        <v>0</v>
      </c>
      <c r="F82" s="20">
        <f t="shared" si="21"/>
        <v>0</v>
      </c>
      <c r="G82" s="20">
        <f t="shared" si="22"/>
        <v>0</v>
      </c>
      <c r="H82" s="20">
        <f t="shared" si="23"/>
        <v>0</v>
      </c>
      <c r="I82" s="20">
        <f t="shared" si="24"/>
        <v>0</v>
      </c>
      <c r="K82" s="20">
        <f t="shared" si="25"/>
        <v>0</v>
      </c>
    </row>
    <row r="83" spans="1:12">
      <c r="A83" s="35" t="s">
        <v>971</v>
      </c>
      <c r="B83" s="20">
        <f t="shared" si="17"/>
        <v>1081010.5176</v>
      </c>
      <c r="C83" s="20">
        <f t="shared" si="18"/>
        <v>0</v>
      </c>
      <c r="D83" s="20">
        <f t="shared" si="19"/>
        <v>0</v>
      </c>
      <c r="E83" s="20">
        <f t="shared" si="20"/>
        <v>0</v>
      </c>
      <c r="F83" s="20">
        <f t="shared" si="21"/>
        <v>0</v>
      </c>
      <c r="G83" s="20">
        <f t="shared" si="22"/>
        <v>0</v>
      </c>
      <c r="H83" s="20">
        <f t="shared" si="23"/>
        <v>0</v>
      </c>
      <c r="I83" s="20">
        <f t="shared" si="24"/>
        <v>0</v>
      </c>
      <c r="K83" s="20">
        <f t="shared" si="25"/>
        <v>1081010</v>
      </c>
      <c r="L83" s="20">
        <f>SUM(K83:K87)</f>
        <v>13319931</v>
      </c>
    </row>
    <row r="84" spans="1:11">
      <c r="A84" s="35" t="s">
        <v>972</v>
      </c>
      <c r="B84" s="20">
        <f t="shared" si="17"/>
        <v>673555.7064</v>
      </c>
      <c r="C84" s="20">
        <f t="shared" si="18"/>
        <v>0</v>
      </c>
      <c r="D84" s="20">
        <f t="shared" si="19"/>
        <v>0</v>
      </c>
      <c r="E84" s="20">
        <f t="shared" si="20"/>
        <v>1067988.8425</v>
      </c>
      <c r="F84" s="20">
        <f t="shared" si="21"/>
        <v>0</v>
      </c>
      <c r="G84" s="20">
        <f t="shared" si="22"/>
        <v>0</v>
      </c>
      <c r="H84" s="20">
        <f t="shared" si="23"/>
        <v>0</v>
      </c>
      <c r="I84" s="20">
        <f t="shared" si="24"/>
        <v>461466.819</v>
      </c>
      <c r="K84" s="20">
        <f t="shared" si="25"/>
        <v>2203011</v>
      </c>
    </row>
    <row r="85" spans="1:11">
      <c r="A85" s="35" t="s">
        <v>973</v>
      </c>
      <c r="B85" s="20">
        <f t="shared" si="17"/>
        <v>848177.4816</v>
      </c>
      <c r="C85" s="20">
        <f t="shared" si="18"/>
        <v>0</v>
      </c>
      <c r="D85" s="20">
        <f t="shared" si="19"/>
        <v>0</v>
      </c>
      <c r="E85" s="20">
        <f t="shared" si="20"/>
        <v>1344863.4625</v>
      </c>
      <c r="F85" s="20">
        <f t="shared" si="21"/>
        <v>0</v>
      </c>
      <c r="G85" s="20">
        <f t="shared" si="22"/>
        <v>0</v>
      </c>
      <c r="H85" s="20">
        <f t="shared" si="23"/>
        <v>0</v>
      </c>
      <c r="I85" s="20">
        <f t="shared" si="24"/>
        <v>581105.736</v>
      </c>
      <c r="K85" s="20">
        <f t="shared" si="25"/>
        <v>2774146</v>
      </c>
    </row>
    <row r="86" spans="1:11">
      <c r="A86" s="35" t="s">
        <v>974</v>
      </c>
      <c r="B86" s="20">
        <f t="shared" si="17"/>
        <v>1022805.2568</v>
      </c>
      <c r="C86" s="20">
        <f t="shared" si="18"/>
        <v>0</v>
      </c>
      <c r="D86" s="20">
        <f t="shared" si="19"/>
        <v>0</v>
      </c>
      <c r="E86" s="20">
        <f t="shared" si="20"/>
        <v>1621750.5175</v>
      </c>
      <c r="F86" s="20">
        <f t="shared" si="21"/>
        <v>0</v>
      </c>
      <c r="G86" s="20">
        <f t="shared" si="22"/>
        <v>0</v>
      </c>
      <c r="H86" s="20">
        <f t="shared" si="23"/>
        <v>0</v>
      </c>
      <c r="I86" s="20">
        <f t="shared" si="24"/>
        <v>700749.627</v>
      </c>
      <c r="K86" s="20">
        <f t="shared" si="25"/>
        <v>3345305</v>
      </c>
    </row>
    <row r="87" spans="1:11">
      <c r="A87" s="35" t="s">
        <v>975</v>
      </c>
      <c r="B87" s="20">
        <f t="shared" si="17"/>
        <v>1197433.032</v>
      </c>
      <c r="C87" s="20">
        <f t="shared" si="18"/>
        <v>0</v>
      </c>
      <c r="D87" s="20">
        <f t="shared" si="19"/>
        <v>0</v>
      </c>
      <c r="E87" s="20">
        <f t="shared" si="20"/>
        <v>1898637.5725</v>
      </c>
      <c r="F87" s="20">
        <f t="shared" si="21"/>
        <v>0</v>
      </c>
      <c r="G87" s="20">
        <f t="shared" si="22"/>
        <v>0</v>
      </c>
      <c r="H87" s="20">
        <f t="shared" si="23"/>
        <v>0</v>
      </c>
      <c r="I87" s="20">
        <f t="shared" si="24"/>
        <v>820388.544</v>
      </c>
      <c r="K87" s="20">
        <f t="shared" si="25"/>
        <v>3916459</v>
      </c>
    </row>
    <row r="88" spans="1:12">
      <c r="A88" s="20" t="s">
        <v>976</v>
      </c>
      <c r="B88" s="20">
        <f t="shared" si="17"/>
        <v>27344939.0184</v>
      </c>
      <c r="C88" s="20">
        <f t="shared" si="18"/>
        <v>0</v>
      </c>
      <c r="D88" s="20">
        <f t="shared" si="19"/>
        <v>3266732.545</v>
      </c>
      <c r="E88" s="20">
        <f t="shared" si="20"/>
        <v>10512942.7575</v>
      </c>
      <c r="F88" s="20">
        <f t="shared" si="21"/>
        <v>1250833.5964</v>
      </c>
      <c r="G88" s="20">
        <f t="shared" si="22"/>
        <v>0</v>
      </c>
      <c r="H88" s="20">
        <f t="shared" si="23"/>
        <v>1516659.961</v>
      </c>
      <c r="I88" s="20">
        <f t="shared" si="24"/>
        <v>4542570.162</v>
      </c>
      <c r="K88" s="20">
        <f t="shared" si="25"/>
        <v>48434678</v>
      </c>
      <c r="L88" s="20">
        <f>SUM(K88:K90)</f>
        <v>50997132</v>
      </c>
    </row>
    <row r="89" spans="1:11">
      <c r="A89" s="20" t="s">
        <v>977</v>
      </c>
      <c r="B89" s="20">
        <f t="shared" si="17"/>
        <v>0</v>
      </c>
      <c r="C89" s="20">
        <f t="shared" si="18"/>
        <v>0</v>
      </c>
      <c r="D89" s="20">
        <f t="shared" si="19"/>
        <v>0</v>
      </c>
      <c r="E89" s="20">
        <f t="shared" si="20"/>
        <v>0</v>
      </c>
      <c r="F89" s="20">
        <f t="shared" si="21"/>
        <v>0</v>
      </c>
      <c r="G89" s="20">
        <f t="shared" si="22"/>
        <v>0</v>
      </c>
      <c r="H89" s="20">
        <f t="shared" si="23"/>
        <v>0</v>
      </c>
      <c r="I89" s="20">
        <f t="shared" si="24"/>
        <v>0</v>
      </c>
      <c r="K89" s="20">
        <f t="shared" si="25"/>
        <v>0</v>
      </c>
    </row>
    <row r="90" spans="1:11">
      <c r="A90" s="20" t="s">
        <v>978</v>
      </c>
      <c r="B90" s="20">
        <f t="shared" si="17"/>
        <v>2562454.3266</v>
      </c>
      <c r="C90" s="20">
        <f t="shared" si="18"/>
        <v>0</v>
      </c>
      <c r="D90" s="20">
        <f t="shared" si="19"/>
        <v>0</v>
      </c>
      <c r="E90" s="20">
        <f t="shared" si="20"/>
        <v>0</v>
      </c>
      <c r="F90" s="20">
        <f t="shared" si="21"/>
        <v>0</v>
      </c>
      <c r="G90" s="20">
        <f t="shared" si="22"/>
        <v>0</v>
      </c>
      <c r="H90" s="20">
        <f t="shared" si="23"/>
        <v>0</v>
      </c>
      <c r="I90" s="20">
        <f t="shared" si="24"/>
        <v>0</v>
      </c>
      <c r="K90" s="20">
        <f t="shared" si="25"/>
        <v>2562454</v>
      </c>
    </row>
    <row r="91" spans="1:12">
      <c r="A91" s="35" t="s">
        <v>979</v>
      </c>
      <c r="B91" s="20">
        <f t="shared" si="17"/>
        <v>111154.7584</v>
      </c>
      <c r="C91" s="20">
        <f t="shared" si="18"/>
        <v>0</v>
      </c>
      <c r="D91" s="20">
        <f t="shared" si="19"/>
        <v>0</v>
      </c>
      <c r="E91" s="20">
        <f t="shared" si="20"/>
        <v>0</v>
      </c>
      <c r="F91" s="20">
        <f t="shared" si="21"/>
        <v>0</v>
      </c>
      <c r="G91" s="20">
        <f t="shared" si="22"/>
        <v>0</v>
      </c>
      <c r="H91" s="20">
        <f t="shared" si="23"/>
        <v>0</v>
      </c>
      <c r="I91" s="20">
        <f t="shared" si="24"/>
        <v>0</v>
      </c>
      <c r="K91" s="20">
        <f t="shared" si="25"/>
        <v>111154</v>
      </c>
      <c r="L91" s="20">
        <f t="shared" ref="L91:L99" si="27">K91</f>
        <v>111154</v>
      </c>
    </row>
    <row r="92" spans="1:12">
      <c r="A92" s="35" t="s">
        <v>364</v>
      </c>
      <c r="B92" s="20">
        <f t="shared" si="17"/>
        <v>0</v>
      </c>
      <c r="C92" s="20">
        <f t="shared" si="18"/>
        <v>0</v>
      </c>
      <c r="D92" s="20">
        <f t="shared" si="19"/>
        <v>0</v>
      </c>
      <c r="E92" s="20">
        <f t="shared" si="20"/>
        <v>0</v>
      </c>
      <c r="F92" s="20">
        <f t="shared" si="21"/>
        <v>0</v>
      </c>
      <c r="G92" s="20">
        <f t="shared" si="22"/>
        <v>0</v>
      </c>
      <c r="H92" s="20">
        <f t="shared" si="23"/>
        <v>0</v>
      </c>
      <c r="I92" s="20">
        <f t="shared" si="24"/>
        <v>0</v>
      </c>
      <c r="K92" s="20">
        <f t="shared" si="25"/>
        <v>0</v>
      </c>
      <c r="L92" s="20">
        <f t="shared" si="27"/>
        <v>0</v>
      </c>
    </row>
    <row r="93" spans="1:12">
      <c r="A93" s="35" t="s">
        <v>980</v>
      </c>
      <c r="B93" s="20">
        <f t="shared" si="17"/>
        <v>406323.296</v>
      </c>
      <c r="C93" s="20">
        <f t="shared" si="18"/>
        <v>0</v>
      </c>
      <c r="D93" s="20">
        <f t="shared" si="19"/>
        <v>0</v>
      </c>
      <c r="E93" s="20">
        <f t="shared" si="20"/>
        <v>241483.3075</v>
      </c>
      <c r="F93" s="20">
        <f t="shared" si="21"/>
        <v>86197.9724</v>
      </c>
      <c r="G93" s="20">
        <f t="shared" si="22"/>
        <v>0</v>
      </c>
      <c r="H93" s="20">
        <f t="shared" si="23"/>
        <v>0</v>
      </c>
      <c r="I93" s="20">
        <f t="shared" si="24"/>
        <v>0</v>
      </c>
      <c r="K93" s="20">
        <f t="shared" si="25"/>
        <v>734004</v>
      </c>
      <c r="L93" s="20">
        <f t="shared" si="27"/>
        <v>734004</v>
      </c>
    </row>
    <row r="94" spans="1:12">
      <c r="A94" s="35" t="s">
        <v>981</v>
      </c>
      <c r="B94" s="20">
        <f t="shared" si="17"/>
        <v>638821.47</v>
      </c>
      <c r="C94" s="20">
        <f t="shared" si="18"/>
        <v>0</v>
      </c>
      <c r="D94" s="20">
        <f t="shared" si="19"/>
        <v>0</v>
      </c>
      <c r="E94" s="20">
        <f t="shared" si="20"/>
        <v>173644.724</v>
      </c>
      <c r="F94" s="20">
        <f t="shared" si="21"/>
        <v>0</v>
      </c>
      <c r="G94" s="20">
        <f t="shared" si="22"/>
        <v>0</v>
      </c>
      <c r="H94" s="20">
        <f t="shared" si="23"/>
        <v>0</v>
      </c>
      <c r="I94" s="20">
        <f t="shared" si="24"/>
        <v>0</v>
      </c>
      <c r="K94" s="20">
        <f t="shared" si="25"/>
        <v>812466</v>
      </c>
      <c r="L94" s="20">
        <f t="shared" si="27"/>
        <v>812466</v>
      </c>
    </row>
    <row r="95" spans="1:12">
      <c r="A95" s="35" t="s">
        <v>72</v>
      </c>
      <c r="B95" s="20">
        <f t="shared" si="17"/>
        <v>0</v>
      </c>
      <c r="C95" s="20">
        <f t="shared" si="18"/>
        <v>0</v>
      </c>
      <c r="D95" s="20">
        <f t="shared" si="19"/>
        <v>0</v>
      </c>
      <c r="E95" s="20">
        <f t="shared" si="20"/>
        <v>0</v>
      </c>
      <c r="F95" s="20">
        <f t="shared" si="21"/>
        <v>0</v>
      </c>
      <c r="G95" s="20">
        <f t="shared" si="22"/>
        <v>0</v>
      </c>
      <c r="H95" s="20">
        <f t="shared" si="23"/>
        <v>0</v>
      </c>
      <c r="I95" s="20">
        <f t="shared" si="24"/>
        <v>0</v>
      </c>
      <c r="K95" s="20">
        <f t="shared" si="25"/>
        <v>0</v>
      </c>
      <c r="L95" s="20">
        <f t="shared" si="27"/>
        <v>0</v>
      </c>
    </row>
    <row r="96" spans="1:12">
      <c r="A96" s="35" t="s">
        <v>70</v>
      </c>
      <c r="B96" s="20">
        <f t="shared" si="17"/>
        <v>0</v>
      </c>
      <c r="C96" s="20">
        <f t="shared" si="18"/>
        <v>0</v>
      </c>
      <c r="D96" s="20">
        <f t="shared" si="19"/>
        <v>0</v>
      </c>
      <c r="E96" s="20">
        <f t="shared" si="20"/>
        <v>0</v>
      </c>
      <c r="F96" s="20">
        <f t="shared" si="21"/>
        <v>0</v>
      </c>
      <c r="G96" s="20">
        <f t="shared" si="22"/>
        <v>0</v>
      </c>
      <c r="H96" s="20">
        <f t="shared" si="23"/>
        <v>0</v>
      </c>
      <c r="I96" s="20">
        <f t="shared" si="24"/>
        <v>0</v>
      </c>
      <c r="K96" s="20">
        <f t="shared" si="25"/>
        <v>0</v>
      </c>
      <c r="L96" s="20">
        <f t="shared" si="27"/>
        <v>0</v>
      </c>
    </row>
    <row r="97" spans="1:12">
      <c r="A97" s="35" t="s">
        <v>982</v>
      </c>
      <c r="B97" s="20">
        <f t="shared" si="17"/>
        <v>0</v>
      </c>
      <c r="C97" s="20">
        <f t="shared" si="18"/>
        <v>0</v>
      </c>
      <c r="D97" s="20">
        <f t="shared" si="19"/>
        <v>0</v>
      </c>
      <c r="E97" s="20">
        <f t="shared" si="20"/>
        <v>0</v>
      </c>
      <c r="F97" s="20">
        <f t="shared" si="21"/>
        <v>0</v>
      </c>
      <c r="G97" s="20">
        <f t="shared" si="22"/>
        <v>0</v>
      </c>
      <c r="H97" s="20">
        <f t="shared" si="23"/>
        <v>0</v>
      </c>
      <c r="I97" s="20">
        <f t="shared" si="24"/>
        <v>0</v>
      </c>
      <c r="K97" s="20">
        <f t="shared" si="25"/>
        <v>0</v>
      </c>
      <c r="L97" s="20">
        <f t="shared" si="27"/>
        <v>0</v>
      </c>
    </row>
    <row r="98" spans="1:12">
      <c r="A98" s="20" t="s">
        <v>983</v>
      </c>
      <c r="B98" s="20">
        <f t="shared" si="17"/>
        <v>0</v>
      </c>
      <c r="C98" s="20">
        <f t="shared" si="18"/>
        <v>0</v>
      </c>
      <c r="D98" s="20">
        <f t="shared" si="19"/>
        <v>0</v>
      </c>
      <c r="E98" s="20">
        <f t="shared" si="20"/>
        <v>0</v>
      </c>
      <c r="F98" s="20">
        <f t="shared" si="21"/>
        <v>0</v>
      </c>
      <c r="G98" s="20">
        <f t="shared" si="22"/>
        <v>0</v>
      </c>
      <c r="H98" s="20">
        <f t="shared" si="23"/>
        <v>0</v>
      </c>
      <c r="I98" s="20">
        <f t="shared" si="24"/>
        <v>0</v>
      </c>
      <c r="K98" s="20">
        <f t="shared" si="25"/>
        <v>0</v>
      </c>
      <c r="L98" s="20">
        <f t="shared" si="27"/>
        <v>0</v>
      </c>
    </row>
    <row r="99" spans="1:12">
      <c r="A99" s="35" t="s">
        <v>984</v>
      </c>
      <c r="B99" s="20">
        <f t="shared" si="17"/>
        <v>0</v>
      </c>
      <c r="C99" s="20">
        <f t="shared" si="18"/>
        <v>0</v>
      </c>
      <c r="D99" s="20">
        <f t="shared" si="19"/>
        <v>0</v>
      </c>
      <c r="E99" s="20">
        <f t="shared" si="20"/>
        <v>0</v>
      </c>
      <c r="F99" s="20">
        <f t="shared" si="21"/>
        <v>0</v>
      </c>
      <c r="G99" s="20">
        <f t="shared" si="22"/>
        <v>0</v>
      </c>
      <c r="H99" s="20">
        <f t="shared" si="23"/>
        <v>0</v>
      </c>
      <c r="I99" s="20">
        <f t="shared" si="24"/>
        <v>0</v>
      </c>
      <c r="K99" s="20">
        <f t="shared" si="25"/>
        <v>0</v>
      </c>
      <c r="L99" s="20">
        <f t="shared" si="27"/>
        <v>0</v>
      </c>
    </row>
    <row r="100" spans="1:9">
      <c r="A100" s="20" t="s">
        <v>985</v>
      </c>
      <c r="B100" s="20">
        <f t="shared" si="17"/>
        <v>0</v>
      </c>
      <c r="C100" s="20">
        <f t="shared" si="18"/>
        <v>0</v>
      </c>
      <c r="D100" s="20">
        <f t="shared" si="19"/>
        <v>0</v>
      </c>
      <c r="E100" s="20">
        <f t="shared" si="20"/>
        <v>0</v>
      </c>
      <c r="F100" s="20">
        <f t="shared" si="21"/>
        <v>0</v>
      </c>
      <c r="G100" s="20">
        <f t="shared" si="22"/>
        <v>0</v>
      </c>
      <c r="H100" s="20">
        <f t="shared" si="23"/>
        <v>0</v>
      </c>
      <c r="I100" s="20">
        <f t="shared" si="24"/>
        <v>0</v>
      </c>
    </row>
    <row r="101" spans="9:9">
      <c r="I101" s="20">
        <f>INT(SUM(B71:I100)+(SUM(B71:I100)*8/35*1%*30%+SUM(B71:I100)*8/35*5%*70%)*额外增益统计!D168)</f>
        <v>218353812</v>
      </c>
    </row>
  </sheetData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1"/>
  <sheetViews>
    <sheetView workbookViewId="0">
      <pane xSplit="1" ySplit="1" topLeftCell="B53" activePane="bottomRight" state="frozen"/>
      <selection/>
      <selection pane="topRight"/>
      <selection pane="bottomLeft"/>
      <selection pane="bottomRight" activeCell="B55" sqref="B55"/>
    </sheetView>
  </sheetViews>
  <sheetFormatPr defaultColWidth="9.64166666666667" defaultRowHeight="13.5"/>
  <cols>
    <col min="1" max="1" width="17.25" style="20" customWidth="1"/>
    <col min="2" max="6" width="12.625" style="20"/>
    <col min="7" max="7" width="11.375" style="20" customWidth="1"/>
    <col min="8" max="8" width="9.75" style="20" customWidth="1"/>
    <col min="9" max="9" width="12.875" style="20" customWidth="1"/>
    <col min="10" max="10" width="11.25" style="20" customWidth="1"/>
    <col min="11" max="11" width="12.875" style="20" customWidth="1"/>
    <col min="12" max="12" width="10" style="20" customWidth="1"/>
    <col min="13" max="13" width="14.25" style="20" customWidth="1"/>
    <col min="14" max="14" width="8.875" style="20" customWidth="1"/>
    <col min="15" max="15" width="11.125" style="20" customWidth="1"/>
    <col min="16" max="19" width="12.875" style="20" customWidth="1"/>
    <col min="20" max="20" width="15" style="20" customWidth="1"/>
    <col min="21" max="21" width="12.875" style="20" customWidth="1"/>
    <col min="22" max="27" width="12.625" style="20"/>
    <col min="28" max="28" width="17.125" style="20" customWidth="1"/>
    <col min="29" max="30" width="12.625" style="20"/>
    <col min="31" max="31" width="19.125" style="20" customWidth="1"/>
    <col min="32" max="32" width="13.125" style="20" customWidth="1"/>
    <col min="33" max="33" width="16.25" style="20" customWidth="1"/>
    <col min="34" max="34" width="22.25" style="20" customWidth="1"/>
    <col min="35" max="37" width="12.875" style="20" customWidth="1"/>
    <col min="38" max="38" width="17.125" style="20" customWidth="1"/>
    <col min="39" max="39" width="21.5" style="20" customWidth="1"/>
    <col min="40" max="40" width="11" style="20" customWidth="1"/>
    <col min="41" max="41" width="9" style="20" customWidth="1"/>
    <col min="42" max="16384" width="9.64166666666667" style="20"/>
  </cols>
  <sheetData>
    <row r="1" spans="1:40">
      <c r="A1" s="20">
        <f>'伤害统计(理想)'!A1</f>
        <v>0</v>
      </c>
      <c r="B1" s="20" t="str">
        <f>'伤害统计(理想)'!B1</f>
        <v>基础伤害</v>
      </c>
      <c r="C1" s="20" t="str">
        <f>'伤害统计(理想)'!C1</f>
        <v>基础攻击力</v>
      </c>
      <c r="D1" s="20" t="str">
        <f>'伤害统计(理想)'!D1</f>
        <v>攻击力</v>
      </c>
      <c r="E1" s="20" t="str">
        <f>'伤害统计(理想)'!E1</f>
        <v>攻击系数</v>
      </c>
      <c r="F1" s="20" t="str">
        <f>'伤害统计(理想)'!F1</f>
        <v>技改系数</v>
      </c>
      <c r="G1" s="20" t="str">
        <f>'伤害统计(理想)'!G1</f>
        <v>秘籍加成</v>
      </c>
      <c r="H1" s="20" t="str">
        <f>'伤害统计(理想)'!H1</f>
        <v>奇穴加成</v>
      </c>
      <c r="I1" s="20" t="str">
        <f>'伤害统计(理想)'!I1</f>
        <v>非侠加成</v>
      </c>
      <c r="J1" s="20" t="str">
        <f>'伤害统计(理想)'!J1</f>
        <v>破防值</v>
      </c>
      <c r="K1" s="20" t="str">
        <f>'伤害统计(理想)'!K1</f>
        <v>腰坠破防加成</v>
      </c>
      <c r="L1" s="20" t="str">
        <f>'伤害统计(理想)'!L1</f>
        <v>防御值</v>
      </c>
      <c r="M1" s="20" t="str">
        <f>'伤害统计(理想)'!M1</f>
        <v>无双</v>
      </c>
      <c r="N1" s="20" t="str">
        <f>'伤害统计(理想)'!N1</f>
        <v>等级压制</v>
      </c>
      <c r="O1" s="20" t="str">
        <f>'伤害统计(理想)'!O1</f>
        <v>会心</v>
      </c>
      <c r="P1" s="20" t="str">
        <f>'伤害统计(理想)'!P1</f>
        <v>奇穴会心加成</v>
      </c>
      <c r="Q1" s="20" t="str">
        <f>'伤害统计(理想)'!Q1</f>
        <v>常规最终会心</v>
      </c>
      <c r="R1" s="20" t="str">
        <f>'伤害统计(理想)'!R1</f>
        <v>紫气会心加成</v>
      </c>
      <c r="S1" s="20" t="str">
        <f>'伤害统计(理想)'!S1</f>
        <v>紫气最终会心</v>
      </c>
      <c r="T1" s="20" t="str">
        <f>'伤害统计(理想)'!T1</f>
        <v>会效</v>
      </c>
      <c r="U1" s="20" t="str">
        <f>'伤害统计(理想)'!U1</f>
        <v>奇穴会效加成</v>
      </c>
      <c r="V1" s="20" t="str">
        <f>'伤害统计(理想)'!V1</f>
        <v>常规最终会效</v>
      </c>
      <c r="W1" s="20" t="str">
        <f>'伤害统计(理想)'!W1</f>
        <v>厚亡会效加成</v>
      </c>
      <c r="X1" s="20" t="str">
        <f>'伤害统计(理想)'!X1</f>
        <v>厚亡最终会效</v>
      </c>
      <c r="Y1" s="20" t="str">
        <f>'伤害统计(理想)'!Y1</f>
        <v>紫气会效加成</v>
      </c>
      <c r="Z1" s="20" t="str">
        <f>'伤害统计(理想)'!Z1</f>
        <v>紫气最终会效</v>
      </c>
      <c r="AA1" s="20" t="str">
        <f>'伤害统计(理想)'!AA1</f>
        <v>会神会效加成</v>
      </c>
      <c r="AB1" s="20" t="str">
        <f>'伤害统计(理想)'!AB1</f>
        <v>会神紫气最终会效</v>
      </c>
      <c r="AC1" s="20" t="s">
        <v>947</v>
      </c>
      <c r="AD1" s="20" t="s">
        <v>948</v>
      </c>
      <c r="AE1" s="20" t="s">
        <v>949</v>
      </c>
      <c r="AF1" s="20" t="s">
        <v>950</v>
      </c>
      <c r="AG1" s="20" t="s">
        <v>951</v>
      </c>
      <c r="AH1" s="20" t="s">
        <v>952</v>
      </c>
      <c r="AI1" s="20" t="s">
        <v>953</v>
      </c>
      <c r="AJ1" s="20" t="s">
        <v>954</v>
      </c>
      <c r="AK1" s="20" t="s">
        <v>955</v>
      </c>
      <c r="AL1" s="20" t="s">
        <v>956</v>
      </c>
      <c r="AM1" s="20" t="s">
        <v>957</v>
      </c>
      <c r="AN1" s="20" t="s">
        <v>958</v>
      </c>
    </row>
    <row r="2" spans="1:40">
      <c r="A2" s="20" t="str">
        <f>'伤害统计(理想)'!A2</f>
        <v>万世二段</v>
      </c>
      <c r="B2" s="20">
        <f>'伤害统计(理想)'!B2</f>
        <v>1189</v>
      </c>
      <c r="C2" s="20">
        <f>'伤害统计(理想)'!C2</f>
        <v>34400</v>
      </c>
      <c r="D2" s="20">
        <f>'伤害统计(理想)'!D2</f>
        <v>45792</v>
      </c>
      <c r="E2" s="20">
        <f>'伤害统计(理想)'!E2</f>
        <v>2.4325</v>
      </c>
      <c r="F2" s="20">
        <f>'伤害统计(理想)'!F2</f>
        <v>1</v>
      </c>
      <c r="G2" s="20">
        <f>'伤害统计(理想)'!G2</f>
        <v>0.12</v>
      </c>
      <c r="H2" s="20">
        <f>'伤害统计(理想)'!H2</f>
        <v>0.1</v>
      </c>
      <c r="I2" s="20">
        <f>'伤害统计(理想)'!I2</f>
        <v>1.35</v>
      </c>
      <c r="J2" s="8">
        <f>'伤害统计(理想)'!J2+'属性收益计算&amp;备注'!Z15</f>
        <v>0.474365</v>
      </c>
      <c r="K2" s="20">
        <f>'伤害统计(理想)'!K2</f>
        <v>0.1181</v>
      </c>
      <c r="L2" s="20">
        <f>'伤害统计(理想)'!L2</f>
        <v>0.177214436704937</v>
      </c>
      <c r="M2" s="20">
        <f>'伤害统计(理想)'!M2</f>
        <v>0.3473</v>
      </c>
      <c r="N2" s="20">
        <f>'伤害统计(理想)'!N2</f>
        <v>0.2</v>
      </c>
      <c r="O2" s="20">
        <f>'伤害统计(理想)'!O2</f>
        <v>0.4994</v>
      </c>
      <c r="P2" s="20">
        <f>'伤害统计(理想)'!P2</f>
        <v>0</v>
      </c>
      <c r="Q2" s="20">
        <f>'伤害统计(理想)'!Q2</f>
        <v>0.4994</v>
      </c>
      <c r="R2" s="20">
        <f>'伤害统计(理想)'!R2</f>
        <v>0.2441</v>
      </c>
      <c r="S2" s="20">
        <f>'伤害统计(理想)'!S2</f>
        <v>0.7435</v>
      </c>
      <c r="T2" s="20">
        <f>'伤害统计(理想)'!T2</f>
        <v>2.0895</v>
      </c>
      <c r="U2" s="20">
        <f>'伤害统计(理想)'!U2</f>
        <v>0</v>
      </c>
      <c r="V2" s="20">
        <f>'伤害统计(理想)'!V2</f>
        <v>2.0895</v>
      </c>
      <c r="W2" s="20">
        <f>'伤害统计(理想)'!W2</f>
        <v>0.2441</v>
      </c>
      <c r="X2" s="20">
        <f>'伤害统计(理想)'!X2</f>
        <v>2.3336</v>
      </c>
      <c r="Y2" s="20">
        <f>'伤害统计(理想)'!Y2</f>
        <v>0.2441</v>
      </c>
      <c r="Z2" s="20">
        <f>'伤害统计(理想)'!Z2</f>
        <v>2.3336</v>
      </c>
      <c r="AA2" s="20">
        <f>'伤害统计(理想)'!AA2</f>
        <v>0.1953</v>
      </c>
      <c r="AB2" s="20">
        <f>'伤害统计(理想)'!AB2</f>
        <v>2.5289</v>
      </c>
      <c r="AC2" s="20">
        <f t="shared" ref="AC2:AC32" si="0">INT(INT(B2+D2*E2)*F2*(1+G2+H2)*(1+I2)*(1+J2)*(1-L2)*(1+M2)*(1-N2))</f>
        <v>422014</v>
      </c>
      <c r="AD2" s="20">
        <f t="shared" ref="AD2:AD32" si="1">INT((B2+(D2+C2*50%)*E2)*F2*(1+G2+H2)*(1+I2)*(1+J2)*(1-L2)*(1+M2)*(1-N2))</f>
        <v>578853</v>
      </c>
      <c r="AE2" s="20">
        <f t="shared" ref="AE2:AE32" si="2">INT((B2+(D2+C2*50%)*E2)*F2*(1+G2+H2)*(1+I2)*(1+J2+K2)*(1-L2)*(1+M2)*(1-N2))</f>
        <v>625221</v>
      </c>
      <c r="AF2" s="20">
        <f t="shared" ref="AF2:AF32" si="3">INT(AC2*V2)</f>
        <v>881798</v>
      </c>
      <c r="AG2" s="20">
        <f t="shared" ref="AG2:AG32" si="4">INT(AD2*Z2)</f>
        <v>1350811</v>
      </c>
      <c r="AH2" s="20">
        <f>INT(AE2*Z2)</f>
        <v>1459015</v>
      </c>
      <c r="AI2" s="20">
        <f t="shared" ref="AI2:AI32" si="5">INT((B2+(D2+C2*25%)*E2)*F2*(1+G2+H2)*(1+I2)*(1+J2)*(1-L2)*(1+M2)*(1-N2))</f>
        <v>500434</v>
      </c>
      <c r="AJ2" s="20">
        <f t="shared" ref="AJ2:AJ32" si="6">INT(AI2*X2)</f>
        <v>1167812</v>
      </c>
      <c r="AK2" s="20">
        <f t="shared" ref="AK2:AK32" si="7">INT((B2+(D2+C2*25%)*E2)*F2*(1+G2+H2)*(1+I2)*(1+J2+K2)*(1-L2)*(1+M2)*(1-N2))</f>
        <v>540520</v>
      </c>
      <c r="AL2" s="20">
        <f t="shared" ref="AL2:AL32" si="8">INT(AK2*X2)</f>
        <v>1261357</v>
      </c>
      <c r="AM2" s="20">
        <f t="shared" ref="AM2:AM32" si="9">INT(AD2*AB2)</f>
        <v>1463861</v>
      </c>
      <c r="AN2" s="20">
        <f t="shared" ref="AN2:AN32" si="10">INT(AE2*AB2)</f>
        <v>1581121</v>
      </c>
    </row>
    <row r="3" spans="1:40">
      <c r="A3" s="20" t="str">
        <f>'伤害统计(理想)'!A3</f>
        <v>飞剑1</v>
      </c>
      <c r="B3" s="20">
        <f>'伤害统计(理想)'!B3</f>
        <v>50</v>
      </c>
      <c r="C3" s="20">
        <f>'伤害统计(理想)'!C3</f>
        <v>34400</v>
      </c>
      <c r="D3" s="20">
        <f>'伤害统计(理想)'!D3</f>
        <v>45792</v>
      </c>
      <c r="E3" s="20">
        <f>'伤害统计(理想)'!E3</f>
        <v>0.286996875</v>
      </c>
      <c r="F3" s="20">
        <f>'伤害统计(理想)'!F3</f>
        <v>1</v>
      </c>
      <c r="G3" s="20">
        <f>'伤害统计(理想)'!G3</f>
        <v>0.12</v>
      </c>
      <c r="H3" s="20">
        <f>'伤害统计(理想)'!H3</f>
        <v>0.1</v>
      </c>
      <c r="I3" s="20">
        <f>'伤害统计(理想)'!I3</f>
        <v>1.35</v>
      </c>
      <c r="J3" s="8">
        <f>J2</f>
        <v>0.474365</v>
      </c>
      <c r="K3" s="20">
        <f>'伤害统计(理想)'!K3</f>
        <v>0.1181</v>
      </c>
      <c r="L3" s="20">
        <f>'伤害统计(理想)'!L3</f>
        <v>0.177214436704937</v>
      </c>
      <c r="M3" s="20">
        <f>'伤害统计(理想)'!M3</f>
        <v>0.3473</v>
      </c>
      <c r="N3" s="20">
        <f>'伤害统计(理想)'!N3</f>
        <v>0.2</v>
      </c>
      <c r="O3" s="20">
        <f>'伤害统计(理想)'!O3</f>
        <v>0.4994</v>
      </c>
      <c r="P3" s="20">
        <f>'伤害统计(理想)'!P3</f>
        <v>0</v>
      </c>
      <c r="Q3" s="20">
        <f>'伤害统计(理想)'!Q3</f>
        <v>0.4994</v>
      </c>
      <c r="R3" s="20">
        <f>'伤害统计(理想)'!R3</f>
        <v>0.2441</v>
      </c>
      <c r="S3" s="20">
        <f>'伤害统计(理想)'!S3</f>
        <v>0.7435</v>
      </c>
      <c r="T3" s="20">
        <f>'伤害统计(理想)'!T3</f>
        <v>2.0895</v>
      </c>
      <c r="U3" s="20">
        <f>'伤害统计(理想)'!U3</f>
        <v>0</v>
      </c>
      <c r="V3" s="20">
        <f>'伤害统计(理想)'!V3</f>
        <v>2.0895</v>
      </c>
      <c r="W3" s="20">
        <f>'伤害统计(理想)'!W3</f>
        <v>0.2441</v>
      </c>
      <c r="X3" s="20">
        <f>'伤害统计(理想)'!X3</f>
        <v>2.3336</v>
      </c>
      <c r="Y3" s="20">
        <f>'伤害统计(理想)'!Y3</f>
        <v>0.2441</v>
      </c>
      <c r="Z3" s="20">
        <f>'伤害统计(理想)'!Z3</f>
        <v>2.3336</v>
      </c>
      <c r="AA3" s="20">
        <f>'伤害统计(理想)'!AA3</f>
        <v>0.1953</v>
      </c>
      <c r="AB3" s="20">
        <f>'伤害统计(理想)'!AB3</f>
        <v>2.5289</v>
      </c>
      <c r="AC3" s="20">
        <f t="shared" si="0"/>
        <v>49452</v>
      </c>
      <c r="AD3" s="20">
        <f t="shared" si="1"/>
        <v>67957</v>
      </c>
      <c r="AE3" s="20">
        <f t="shared" si="2"/>
        <v>73400</v>
      </c>
      <c r="AF3" s="20">
        <f t="shared" si="3"/>
        <v>103329</v>
      </c>
      <c r="AG3" s="20">
        <f t="shared" si="4"/>
        <v>158584</v>
      </c>
      <c r="AH3" s="20">
        <f>INT(AE3*(T3+U3+0.4441+按提示输入属性!D64*0.1953))</f>
        <v>200301</v>
      </c>
      <c r="AI3" s="20">
        <f t="shared" si="5"/>
        <v>58704</v>
      </c>
      <c r="AJ3" s="20">
        <f t="shared" si="6"/>
        <v>136991</v>
      </c>
      <c r="AK3" s="20">
        <f t="shared" si="7"/>
        <v>63407</v>
      </c>
      <c r="AL3" s="20">
        <f t="shared" si="8"/>
        <v>147966</v>
      </c>
      <c r="AM3" s="20">
        <f t="shared" si="9"/>
        <v>171856</v>
      </c>
      <c r="AN3" s="20">
        <f t="shared" si="10"/>
        <v>185621</v>
      </c>
    </row>
    <row r="4" spans="1:40">
      <c r="A4" s="20" t="str">
        <f>'伤害统计(理想)'!A4</f>
        <v>飞剑2</v>
      </c>
      <c r="B4" s="20">
        <f>'伤害统计(理想)'!B4</f>
        <v>50</v>
      </c>
      <c r="C4" s="20">
        <f>'伤害统计(理想)'!C4</f>
        <v>34400</v>
      </c>
      <c r="D4" s="20">
        <f>'伤害统计(理想)'!D4</f>
        <v>45792</v>
      </c>
      <c r="E4" s="20">
        <f>'伤害统计(理想)'!E4</f>
        <v>0.286996875</v>
      </c>
      <c r="F4" s="20">
        <f>'伤害统计(理想)'!F4</f>
        <v>1</v>
      </c>
      <c r="G4" s="20">
        <f>'伤害统计(理想)'!G4</f>
        <v>0.12</v>
      </c>
      <c r="H4" s="20">
        <f>'伤害统计(理想)'!H4</f>
        <v>0.25</v>
      </c>
      <c r="I4" s="20">
        <f>'伤害统计(理想)'!I4</f>
        <v>1.35</v>
      </c>
      <c r="J4" s="8">
        <f>J2</f>
        <v>0.474365</v>
      </c>
      <c r="K4" s="20">
        <f>'伤害统计(理想)'!K4</f>
        <v>0.1181</v>
      </c>
      <c r="L4" s="20">
        <f>'伤害统计(理想)'!L4</f>
        <v>0.177214436704937</v>
      </c>
      <c r="M4" s="20">
        <f>'伤害统计(理想)'!M4</f>
        <v>0.3473</v>
      </c>
      <c r="N4" s="20">
        <f>'伤害统计(理想)'!N4</f>
        <v>0.2</v>
      </c>
      <c r="O4" s="20">
        <f>'伤害统计(理想)'!O4</f>
        <v>0.4994</v>
      </c>
      <c r="P4" s="20">
        <f>'伤害统计(理想)'!P4</f>
        <v>0</v>
      </c>
      <c r="Q4" s="20">
        <f>'伤害统计(理想)'!Q4</f>
        <v>0.4994</v>
      </c>
      <c r="R4" s="20">
        <f>'伤害统计(理想)'!R4</f>
        <v>0.2441</v>
      </c>
      <c r="S4" s="20">
        <f>'伤害统计(理想)'!S4</f>
        <v>0.7435</v>
      </c>
      <c r="T4" s="20">
        <f>'伤害统计(理想)'!T4</f>
        <v>2.0895</v>
      </c>
      <c r="U4" s="20">
        <f>'伤害统计(理想)'!U4</f>
        <v>0</v>
      </c>
      <c r="V4" s="20">
        <f>'伤害统计(理想)'!V4</f>
        <v>2.0895</v>
      </c>
      <c r="W4" s="20">
        <f>'伤害统计(理想)'!W4</f>
        <v>0.2441</v>
      </c>
      <c r="X4" s="20">
        <f>'伤害统计(理想)'!X4</f>
        <v>2.3336</v>
      </c>
      <c r="Y4" s="20">
        <f>'伤害统计(理想)'!Y4</f>
        <v>0.2441</v>
      </c>
      <c r="Z4" s="20">
        <f>'伤害统计(理想)'!Z4</f>
        <v>2.3336</v>
      </c>
      <c r="AA4" s="20">
        <f>'伤害统计(理想)'!AA4</f>
        <v>0.1953</v>
      </c>
      <c r="AB4" s="20">
        <f>'伤害统计(理想)'!AB4</f>
        <v>2.5289</v>
      </c>
      <c r="AC4" s="20">
        <f t="shared" si="0"/>
        <v>55532</v>
      </c>
      <c r="AD4" s="20">
        <f t="shared" si="1"/>
        <v>76312</v>
      </c>
      <c r="AE4" s="20">
        <f t="shared" si="2"/>
        <v>82425</v>
      </c>
      <c r="AF4" s="20">
        <f t="shared" si="3"/>
        <v>116034</v>
      </c>
      <c r="AG4" s="20">
        <f t="shared" si="4"/>
        <v>178081</v>
      </c>
      <c r="AH4" s="20">
        <f>INT(AE4*(T4+U4+0.4441+按提示输入属性!D64*0.1953))</f>
        <v>224929</v>
      </c>
      <c r="AI4" s="20">
        <f t="shared" si="5"/>
        <v>65922</v>
      </c>
      <c r="AJ4" s="20">
        <f t="shared" si="6"/>
        <v>153835</v>
      </c>
      <c r="AK4" s="20">
        <f t="shared" si="7"/>
        <v>71203</v>
      </c>
      <c r="AL4" s="20">
        <f t="shared" si="8"/>
        <v>166159</v>
      </c>
      <c r="AM4" s="20">
        <f t="shared" si="9"/>
        <v>192985</v>
      </c>
      <c r="AN4" s="20">
        <f t="shared" si="10"/>
        <v>208444</v>
      </c>
    </row>
    <row r="5" spans="1:40">
      <c r="A5" s="20" t="str">
        <f>'伤害统计(理想)'!A5</f>
        <v>飞剑3</v>
      </c>
      <c r="B5" s="20">
        <f>'伤害统计(理想)'!B5</f>
        <v>50</v>
      </c>
      <c r="C5" s="20">
        <f>'伤害统计(理想)'!C5</f>
        <v>34400</v>
      </c>
      <c r="D5" s="20">
        <f>'伤害统计(理想)'!D5</f>
        <v>45792</v>
      </c>
      <c r="E5" s="20">
        <f>'伤害统计(理想)'!E5</f>
        <v>0.286996875</v>
      </c>
      <c r="F5" s="20">
        <f>'伤害统计(理想)'!F5</f>
        <v>1</v>
      </c>
      <c r="G5" s="20">
        <f>'伤害统计(理想)'!G5</f>
        <v>0.12</v>
      </c>
      <c r="H5" s="20">
        <f>'伤害统计(理想)'!H5</f>
        <v>0.4</v>
      </c>
      <c r="I5" s="20">
        <f>'伤害统计(理想)'!I5</f>
        <v>1.35</v>
      </c>
      <c r="J5" s="8">
        <f>J2</f>
        <v>0.474365</v>
      </c>
      <c r="K5" s="20">
        <f>'伤害统计(理想)'!K5</f>
        <v>0.1181</v>
      </c>
      <c r="L5" s="20">
        <f>'伤害统计(理想)'!L5</f>
        <v>0.177214436704937</v>
      </c>
      <c r="M5" s="20">
        <f>'伤害统计(理想)'!M5</f>
        <v>0.3473</v>
      </c>
      <c r="N5" s="20">
        <f>'伤害统计(理想)'!N5</f>
        <v>0.2</v>
      </c>
      <c r="O5" s="20">
        <f>'伤害统计(理想)'!O5</f>
        <v>0.4994</v>
      </c>
      <c r="P5" s="20">
        <f>'伤害统计(理想)'!P5</f>
        <v>0</v>
      </c>
      <c r="Q5" s="20">
        <f>'伤害统计(理想)'!Q5</f>
        <v>0.4994</v>
      </c>
      <c r="R5" s="20">
        <f>'伤害统计(理想)'!R5</f>
        <v>0.2441</v>
      </c>
      <c r="S5" s="20">
        <f>'伤害统计(理想)'!S5</f>
        <v>0.7435</v>
      </c>
      <c r="T5" s="20">
        <f>'伤害统计(理想)'!T5</f>
        <v>2.0895</v>
      </c>
      <c r="U5" s="20">
        <f>'伤害统计(理想)'!U5</f>
        <v>0</v>
      </c>
      <c r="V5" s="20">
        <f>'伤害统计(理想)'!V5</f>
        <v>2.0895</v>
      </c>
      <c r="W5" s="20">
        <f>'伤害统计(理想)'!W5</f>
        <v>0.2441</v>
      </c>
      <c r="X5" s="20">
        <f>'伤害统计(理想)'!X5</f>
        <v>2.3336</v>
      </c>
      <c r="Y5" s="20">
        <f>'伤害统计(理想)'!Y5</f>
        <v>0.2441</v>
      </c>
      <c r="Z5" s="20">
        <f>'伤害统计(理想)'!Z5</f>
        <v>2.3336</v>
      </c>
      <c r="AA5" s="20">
        <f>'伤害统计(理想)'!AA5</f>
        <v>0.1953</v>
      </c>
      <c r="AB5" s="20">
        <f>'伤害统计(理想)'!AB5</f>
        <v>2.5289</v>
      </c>
      <c r="AC5" s="20">
        <f t="shared" si="0"/>
        <v>61612</v>
      </c>
      <c r="AD5" s="20">
        <f t="shared" si="1"/>
        <v>84668</v>
      </c>
      <c r="AE5" s="20">
        <f t="shared" si="2"/>
        <v>91450</v>
      </c>
      <c r="AF5" s="20">
        <f t="shared" si="3"/>
        <v>128738</v>
      </c>
      <c r="AG5" s="20">
        <f t="shared" si="4"/>
        <v>197581</v>
      </c>
      <c r="AH5" s="20">
        <f>INT(AE5*(T5+U5+0.4441+按提示输入属性!D64*0.1953))</f>
        <v>249557</v>
      </c>
      <c r="AI5" s="20">
        <f t="shared" si="5"/>
        <v>73140</v>
      </c>
      <c r="AJ5" s="20">
        <f t="shared" si="6"/>
        <v>170679</v>
      </c>
      <c r="AK5" s="20">
        <f t="shared" si="7"/>
        <v>78999</v>
      </c>
      <c r="AL5" s="20">
        <f t="shared" si="8"/>
        <v>184352</v>
      </c>
      <c r="AM5" s="20">
        <f t="shared" si="9"/>
        <v>214116</v>
      </c>
      <c r="AN5" s="20">
        <f t="shared" si="10"/>
        <v>231267</v>
      </c>
    </row>
    <row r="6" spans="1:40">
      <c r="A6" s="20" t="str">
        <f>'伤害统计(理想)'!A6</f>
        <v>飞剑4</v>
      </c>
      <c r="B6" s="20">
        <f>'伤害统计(理想)'!B6</f>
        <v>50</v>
      </c>
      <c r="C6" s="20">
        <f>'伤害统计(理想)'!C6</f>
        <v>34400</v>
      </c>
      <c r="D6" s="20">
        <f>'伤害统计(理想)'!D6</f>
        <v>45792</v>
      </c>
      <c r="E6" s="20">
        <f>'伤害统计(理想)'!E6</f>
        <v>0.286996875</v>
      </c>
      <c r="F6" s="20">
        <f>'伤害统计(理想)'!F6</f>
        <v>1</v>
      </c>
      <c r="G6" s="20">
        <f>'伤害统计(理想)'!G6</f>
        <v>0.12</v>
      </c>
      <c r="H6" s="20">
        <f>'伤害统计(理想)'!H6</f>
        <v>0.55</v>
      </c>
      <c r="I6" s="20">
        <f>'伤害统计(理想)'!I6</f>
        <v>1.35</v>
      </c>
      <c r="J6" s="8">
        <f>J2</f>
        <v>0.474365</v>
      </c>
      <c r="K6" s="20">
        <f>'伤害统计(理想)'!K6</f>
        <v>0.1181</v>
      </c>
      <c r="L6" s="20">
        <f>'伤害统计(理想)'!L6</f>
        <v>0.177214436704937</v>
      </c>
      <c r="M6" s="20">
        <f>'伤害统计(理想)'!M6</f>
        <v>0.3473</v>
      </c>
      <c r="N6" s="20">
        <f>'伤害统计(理想)'!N6</f>
        <v>0.2</v>
      </c>
      <c r="O6" s="20">
        <f>'伤害统计(理想)'!O6</f>
        <v>0.4994</v>
      </c>
      <c r="P6" s="20">
        <f>'伤害统计(理想)'!P6</f>
        <v>0</v>
      </c>
      <c r="Q6" s="20">
        <f>'伤害统计(理想)'!Q6</f>
        <v>0.4994</v>
      </c>
      <c r="R6" s="20">
        <f>'伤害统计(理想)'!R6</f>
        <v>0.2441</v>
      </c>
      <c r="S6" s="20">
        <f>'伤害统计(理想)'!S6</f>
        <v>0.7435</v>
      </c>
      <c r="T6" s="20">
        <f>'伤害统计(理想)'!T6</f>
        <v>2.0895</v>
      </c>
      <c r="U6" s="20">
        <f>'伤害统计(理想)'!U6</f>
        <v>0</v>
      </c>
      <c r="V6" s="20">
        <f>'伤害统计(理想)'!V6</f>
        <v>2.0895</v>
      </c>
      <c r="W6" s="20">
        <f>'伤害统计(理想)'!W6</f>
        <v>0.2441</v>
      </c>
      <c r="X6" s="20">
        <f>'伤害统计(理想)'!X6</f>
        <v>2.3336</v>
      </c>
      <c r="Y6" s="20">
        <f>'伤害统计(理想)'!Y6</f>
        <v>0.2441</v>
      </c>
      <c r="Z6" s="20">
        <f>'伤害统计(理想)'!Z6</f>
        <v>2.3336</v>
      </c>
      <c r="AA6" s="20">
        <f>'伤害统计(理想)'!AA6</f>
        <v>0.1953</v>
      </c>
      <c r="AB6" s="20">
        <f>'伤害统计(理想)'!AB6</f>
        <v>2.5289</v>
      </c>
      <c r="AC6" s="20">
        <f t="shared" si="0"/>
        <v>67692</v>
      </c>
      <c r="AD6" s="20">
        <f t="shared" si="1"/>
        <v>93023</v>
      </c>
      <c r="AE6" s="20">
        <f t="shared" si="2"/>
        <v>100474</v>
      </c>
      <c r="AF6" s="20">
        <f t="shared" si="3"/>
        <v>141442</v>
      </c>
      <c r="AG6" s="20">
        <f t="shared" si="4"/>
        <v>217078</v>
      </c>
      <c r="AH6" s="20">
        <f>INT(AE6*(T6+U6+0.4441+按提示输入属性!D64*0.1953))</f>
        <v>274183</v>
      </c>
      <c r="AI6" s="20">
        <f t="shared" si="5"/>
        <v>80358</v>
      </c>
      <c r="AJ6" s="20">
        <f t="shared" si="6"/>
        <v>187523</v>
      </c>
      <c r="AK6" s="20">
        <f t="shared" si="7"/>
        <v>86795</v>
      </c>
      <c r="AL6" s="20">
        <f t="shared" si="8"/>
        <v>202544</v>
      </c>
      <c r="AM6" s="20">
        <f t="shared" si="9"/>
        <v>235245</v>
      </c>
      <c r="AN6" s="20">
        <f t="shared" si="10"/>
        <v>254088</v>
      </c>
    </row>
    <row r="7" spans="1:40">
      <c r="A7" s="20" t="str">
        <f>'伤害统计(理想)'!A7</f>
        <v>飞剑5</v>
      </c>
      <c r="B7" s="20">
        <f>'伤害统计(理想)'!B7</f>
        <v>50</v>
      </c>
      <c r="C7" s="20">
        <f>'伤害统计(理想)'!C7</f>
        <v>34400</v>
      </c>
      <c r="D7" s="20">
        <f>'伤害统计(理想)'!D7</f>
        <v>45792</v>
      </c>
      <c r="E7" s="20">
        <f>'伤害统计(理想)'!E7</f>
        <v>0.286996875</v>
      </c>
      <c r="F7" s="20">
        <f>'伤害统计(理想)'!F7</f>
        <v>1</v>
      </c>
      <c r="G7" s="20">
        <f>'伤害统计(理想)'!G7</f>
        <v>0.12</v>
      </c>
      <c r="H7" s="20">
        <f>'伤害统计(理想)'!H7</f>
        <v>0.7</v>
      </c>
      <c r="I7" s="20">
        <f>'伤害统计(理想)'!I7</f>
        <v>1.35</v>
      </c>
      <c r="J7" s="8">
        <f>J2</f>
        <v>0.474365</v>
      </c>
      <c r="K7" s="20">
        <f>'伤害统计(理想)'!K7</f>
        <v>0.1181</v>
      </c>
      <c r="L7" s="20">
        <f>'伤害统计(理想)'!L7</f>
        <v>0.177214436704937</v>
      </c>
      <c r="M7" s="20">
        <f>'伤害统计(理想)'!M7</f>
        <v>0.3473</v>
      </c>
      <c r="N7" s="20">
        <f>'伤害统计(理想)'!N7</f>
        <v>0.2</v>
      </c>
      <c r="O7" s="20">
        <f>'伤害统计(理想)'!O7</f>
        <v>0.4994</v>
      </c>
      <c r="P7" s="20">
        <f>'伤害统计(理想)'!P7</f>
        <v>0</v>
      </c>
      <c r="Q7" s="20">
        <f>'伤害统计(理想)'!Q7</f>
        <v>0.4994</v>
      </c>
      <c r="R7" s="20">
        <f>'伤害统计(理想)'!R7</f>
        <v>0.2441</v>
      </c>
      <c r="S7" s="20">
        <f>'伤害统计(理想)'!S7</f>
        <v>0.7435</v>
      </c>
      <c r="T7" s="20">
        <f>'伤害统计(理想)'!T7</f>
        <v>2.0895</v>
      </c>
      <c r="U7" s="20">
        <f>'伤害统计(理想)'!U7</f>
        <v>0</v>
      </c>
      <c r="V7" s="20">
        <f>'伤害统计(理想)'!V7</f>
        <v>2.0895</v>
      </c>
      <c r="W7" s="20">
        <f>'伤害统计(理想)'!W7</f>
        <v>0.2441</v>
      </c>
      <c r="X7" s="20">
        <f>'伤害统计(理想)'!X7</f>
        <v>2.3336</v>
      </c>
      <c r="Y7" s="20">
        <f>'伤害统计(理想)'!Y7</f>
        <v>0.2441</v>
      </c>
      <c r="Z7" s="20">
        <f>'伤害统计(理想)'!Z7</f>
        <v>2.3336</v>
      </c>
      <c r="AA7" s="20">
        <f>'伤害统计(理想)'!AA7</f>
        <v>0.1953</v>
      </c>
      <c r="AB7" s="20">
        <f>'伤害统计(理想)'!AB7</f>
        <v>2.5289</v>
      </c>
      <c r="AC7" s="20">
        <f t="shared" si="0"/>
        <v>73772</v>
      </c>
      <c r="AD7" s="20">
        <f t="shared" si="1"/>
        <v>101378</v>
      </c>
      <c r="AE7" s="20">
        <f t="shared" si="2"/>
        <v>109499</v>
      </c>
      <c r="AF7" s="20">
        <f t="shared" si="3"/>
        <v>154146</v>
      </c>
      <c r="AG7" s="20">
        <f t="shared" si="4"/>
        <v>236575</v>
      </c>
      <c r="AH7" s="20">
        <f>INT(AE7*(T7+U7+0.4441+按提示输入属性!D64*0.1953))</f>
        <v>298811</v>
      </c>
      <c r="AI7" s="20">
        <f t="shared" si="5"/>
        <v>87576</v>
      </c>
      <c r="AJ7" s="20">
        <f t="shared" si="6"/>
        <v>204367</v>
      </c>
      <c r="AK7" s="20">
        <f t="shared" si="7"/>
        <v>94591</v>
      </c>
      <c r="AL7" s="20">
        <f t="shared" si="8"/>
        <v>220737</v>
      </c>
      <c r="AM7" s="20">
        <f t="shared" si="9"/>
        <v>256374</v>
      </c>
      <c r="AN7" s="20">
        <f t="shared" si="10"/>
        <v>276912</v>
      </c>
    </row>
    <row r="8" s="20" customFormat="1" spans="1:40">
      <c r="A8" s="20" t="str">
        <f>'伤害统计(理想)'!A8</f>
        <v>颠越苍穹击</v>
      </c>
      <c r="B8" s="20">
        <f>'伤害统计(理想)'!B8</f>
        <v>1090</v>
      </c>
      <c r="C8" s="20">
        <f>'伤害统计(理想)'!C8</f>
        <v>34400</v>
      </c>
      <c r="D8" s="20">
        <f>'伤害统计(理想)'!D8</f>
        <v>45792</v>
      </c>
      <c r="E8" s="20">
        <f>'伤害统计(理想)'!E8</f>
        <v>0.7239</v>
      </c>
      <c r="F8" s="20">
        <f>'伤害统计(理想)'!F8</f>
        <v>1</v>
      </c>
      <c r="G8" s="20">
        <f>'伤害统计(理想)'!G8</f>
        <v>0</v>
      </c>
      <c r="H8" s="20">
        <f>'伤害统计(理想)'!H8</f>
        <v>0</v>
      </c>
      <c r="I8" s="20">
        <f>'伤害统计(理想)'!I8</f>
        <v>0.05</v>
      </c>
      <c r="J8" s="8">
        <f>J2</f>
        <v>0.474365</v>
      </c>
      <c r="K8" s="20">
        <f>'伤害统计(理想)'!K8</f>
        <v>0.1181</v>
      </c>
      <c r="L8" s="20">
        <f>'伤害统计(理想)'!L8</f>
        <v>0.177214436704937</v>
      </c>
      <c r="M8" s="20">
        <f>'伤害统计(理想)'!M8</f>
        <v>0.3473</v>
      </c>
      <c r="N8" s="20">
        <f>'伤害统计(理想)'!N8</f>
        <v>0.2</v>
      </c>
      <c r="O8" s="20">
        <f>'伤害统计(理想)'!O8</f>
        <v>0.4994</v>
      </c>
      <c r="P8" s="20">
        <f>'伤害统计(理想)'!P8</f>
        <v>0</v>
      </c>
      <c r="Q8" s="20">
        <f>'伤害统计(理想)'!Q8</f>
        <v>0.4994</v>
      </c>
      <c r="R8" s="20">
        <f>'伤害统计(理想)'!R8</f>
        <v>0.2441</v>
      </c>
      <c r="S8" s="20">
        <f>'伤害统计(理想)'!S8</f>
        <v>0.7435</v>
      </c>
      <c r="T8" s="20">
        <f>'伤害统计(理想)'!T8</f>
        <v>2.0895</v>
      </c>
      <c r="U8" s="20">
        <f>'伤害统计(理想)'!U8</f>
        <v>0</v>
      </c>
      <c r="V8" s="20">
        <f>'伤害统计(理想)'!V8</f>
        <v>2.0895</v>
      </c>
      <c r="W8" s="20">
        <f>'伤害统计(理想)'!W8</f>
        <v>0.2441</v>
      </c>
      <c r="X8" s="20">
        <f>'伤害统计(理想)'!X8</f>
        <v>2.3336</v>
      </c>
      <c r="Y8" s="20">
        <f>'伤害统计(理想)'!Y8</f>
        <v>0.2441</v>
      </c>
      <c r="Z8" s="20">
        <f>'伤害统计(理想)'!Z8</f>
        <v>2.3336</v>
      </c>
      <c r="AA8" s="20">
        <f>'伤害统计(理想)'!AA8</f>
        <v>0.1953</v>
      </c>
      <c r="AB8" s="20">
        <f>'伤害统计(理想)'!AB8</f>
        <v>2.5289</v>
      </c>
      <c r="AC8" s="20">
        <f t="shared" si="0"/>
        <v>47004</v>
      </c>
      <c r="AD8" s="20">
        <f t="shared" si="1"/>
        <v>64100</v>
      </c>
      <c r="AE8" s="20">
        <f t="shared" si="2"/>
        <v>69234</v>
      </c>
      <c r="AF8" s="20">
        <f t="shared" si="3"/>
        <v>98214</v>
      </c>
      <c r="AG8" s="20">
        <f t="shared" si="4"/>
        <v>149583</v>
      </c>
      <c r="AH8" s="20">
        <f t="shared" ref="AH8:AH14" si="11">INT(AE8*(T8+U8+0.4441))</f>
        <v>175411</v>
      </c>
      <c r="AI8" s="20">
        <f t="shared" si="5"/>
        <v>55553</v>
      </c>
      <c r="AJ8" s="20">
        <f t="shared" si="6"/>
        <v>129638</v>
      </c>
      <c r="AK8" s="20">
        <f t="shared" si="7"/>
        <v>60002</v>
      </c>
      <c r="AL8" s="20">
        <f t="shared" si="8"/>
        <v>140020</v>
      </c>
      <c r="AM8" s="20">
        <f t="shared" si="9"/>
        <v>162102</v>
      </c>
      <c r="AN8" s="20">
        <f t="shared" si="10"/>
        <v>175085</v>
      </c>
    </row>
    <row r="9" s="20" customFormat="1" spans="1:40">
      <c r="A9" s="20" t="str">
        <f>'伤害统计(理想)'!A9</f>
        <v>五方行尽</v>
      </c>
      <c r="B9" s="20">
        <f>'伤害统计(理想)'!B9</f>
        <v>51</v>
      </c>
      <c r="C9" s="20">
        <f>'伤害统计(理想)'!C9</f>
        <v>34400</v>
      </c>
      <c r="D9" s="20">
        <f>'伤害统计(理想)'!D9</f>
        <v>45792</v>
      </c>
      <c r="E9" s="20">
        <f>'伤害统计(理想)'!E9</f>
        <v>0.5453</v>
      </c>
      <c r="F9" s="20">
        <f>'伤害统计(理想)'!F9</f>
        <v>1</v>
      </c>
      <c r="G9" s="20">
        <f>'伤害统计(理想)'!G9</f>
        <v>0</v>
      </c>
      <c r="H9" s="20">
        <f>'伤害统计(理想)'!H9</f>
        <v>0</v>
      </c>
      <c r="I9" s="20">
        <f>'伤害统计(理想)'!I9</f>
        <v>0.05</v>
      </c>
      <c r="J9" s="8">
        <f>J2</f>
        <v>0.474365</v>
      </c>
      <c r="K9" s="20">
        <f>'伤害统计(理想)'!K9</f>
        <v>0.1181</v>
      </c>
      <c r="L9" s="20">
        <f>'伤害统计(理想)'!L9</f>
        <v>0.177214436704937</v>
      </c>
      <c r="M9" s="20">
        <f>'伤害统计(理想)'!M9</f>
        <v>0.3473</v>
      </c>
      <c r="N9" s="20">
        <f>'伤害统计(理想)'!N9</f>
        <v>0.2</v>
      </c>
      <c r="O9" s="20">
        <f>'伤害统计(理想)'!O9</f>
        <v>0.4994</v>
      </c>
      <c r="P9" s="20">
        <f>'伤害统计(理想)'!P9</f>
        <v>0</v>
      </c>
      <c r="Q9" s="20">
        <f>'伤害统计(理想)'!Q9</f>
        <v>0.4994</v>
      </c>
      <c r="R9" s="20">
        <f>'伤害统计(理想)'!R9</f>
        <v>0.2441</v>
      </c>
      <c r="S9" s="20">
        <f>'伤害统计(理想)'!S9</f>
        <v>0.7435</v>
      </c>
      <c r="T9" s="20">
        <f>'伤害统计(理想)'!T9</f>
        <v>2.0895</v>
      </c>
      <c r="U9" s="20">
        <f>'伤害统计(理想)'!U9</f>
        <v>0</v>
      </c>
      <c r="V9" s="20">
        <f>'伤害统计(理想)'!V9</f>
        <v>2.0895</v>
      </c>
      <c r="W9" s="20">
        <f>'伤害统计(理想)'!W9</f>
        <v>0.2441</v>
      </c>
      <c r="X9" s="20">
        <f>'伤害统计(理想)'!X9</f>
        <v>2.3336</v>
      </c>
      <c r="Y9" s="20">
        <f>'伤害统计(理想)'!Y9</f>
        <v>0.2441</v>
      </c>
      <c r="Z9" s="20">
        <f>'伤害统计(理想)'!Z9</f>
        <v>2.3336</v>
      </c>
      <c r="AA9" s="20">
        <f>'伤害统计(理想)'!AA9</f>
        <v>0.1953</v>
      </c>
      <c r="AB9" s="20">
        <f>'伤害统计(理想)'!AB9</f>
        <v>2.5289</v>
      </c>
      <c r="AC9" s="20">
        <f t="shared" si="0"/>
        <v>34351</v>
      </c>
      <c r="AD9" s="20">
        <f t="shared" si="1"/>
        <v>47228</v>
      </c>
      <c r="AE9" s="20">
        <f t="shared" si="2"/>
        <v>51011</v>
      </c>
      <c r="AF9" s="20">
        <f t="shared" si="3"/>
        <v>71776</v>
      </c>
      <c r="AG9" s="20">
        <f t="shared" si="4"/>
        <v>110211</v>
      </c>
      <c r="AH9" s="20">
        <f t="shared" si="11"/>
        <v>129241</v>
      </c>
      <c r="AI9" s="20">
        <f t="shared" si="5"/>
        <v>40789</v>
      </c>
      <c r="AJ9" s="20">
        <f t="shared" si="6"/>
        <v>95185</v>
      </c>
      <c r="AK9" s="20">
        <f t="shared" si="7"/>
        <v>44057</v>
      </c>
      <c r="AL9" s="20">
        <f t="shared" si="8"/>
        <v>102811</v>
      </c>
      <c r="AM9" s="20">
        <f t="shared" si="9"/>
        <v>119434</v>
      </c>
      <c r="AN9" s="20">
        <f t="shared" si="10"/>
        <v>129001</v>
      </c>
    </row>
    <row r="10" spans="1:40">
      <c r="A10" s="20" t="str">
        <f>'伤害统计(理想)'!A10</f>
        <v>四象轮回</v>
      </c>
      <c r="B10" s="20">
        <f>'伤害统计(理想)'!B10</f>
        <v>1000</v>
      </c>
      <c r="C10" s="20">
        <f>'伤害统计(理想)'!C10</f>
        <v>34400</v>
      </c>
      <c r="D10" s="20">
        <f>'伤害统计(理想)'!D10</f>
        <v>45792</v>
      </c>
      <c r="E10" s="20">
        <f>'伤害统计(理想)'!E10</f>
        <v>2.29640625</v>
      </c>
      <c r="F10" s="20">
        <f>'伤害统计(理想)'!F10</f>
        <v>1</v>
      </c>
      <c r="G10" s="20">
        <f>'伤害统计(理想)'!G10</f>
        <v>0</v>
      </c>
      <c r="H10" s="20">
        <f>'伤害统计(理想)'!H10</f>
        <v>0.2</v>
      </c>
      <c r="I10" s="20">
        <f>'伤害统计(理想)'!I10</f>
        <v>0.05</v>
      </c>
      <c r="J10" s="8">
        <f>J2</f>
        <v>0.474365</v>
      </c>
      <c r="K10" s="20">
        <f>'伤害统计(理想)'!K10</f>
        <v>0.1181</v>
      </c>
      <c r="L10" s="20">
        <f>'伤害统计(理想)'!L10</f>
        <v>0.177214436704937</v>
      </c>
      <c r="M10" s="20">
        <f>'伤害统计(理想)'!M10</f>
        <v>0.3473</v>
      </c>
      <c r="N10" s="20">
        <f>'伤害统计(理想)'!N10</f>
        <v>0.2</v>
      </c>
      <c r="O10" s="20">
        <f>'伤害统计(理想)'!O10</f>
        <v>0.4994</v>
      </c>
      <c r="P10" s="20">
        <f>'伤害统计(理想)'!P10</f>
        <v>0.17</v>
      </c>
      <c r="Q10" s="20">
        <f>'伤害统计(理想)'!Q10</f>
        <v>0.6694</v>
      </c>
      <c r="R10" s="20">
        <f>'伤害统计(理想)'!R10</f>
        <v>0.2441</v>
      </c>
      <c r="S10" s="20">
        <f>'伤害统计(理想)'!S10</f>
        <v>0.9135</v>
      </c>
      <c r="T10" s="20">
        <f>'伤害统计(理想)'!T10</f>
        <v>2.0895</v>
      </c>
      <c r="U10" s="20">
        <f>'伤害统计(理想)'!U10</f>
        <v>0.1</v>
      </c>
      <c r="V10" s="20">
        <f>'伤害统计(理想)'!V10</f>
        <v>2.1895</v>
      </c>
      <c r="W10" s="20">
        <f>'伤害统计(理想)'!W10</f>
        <v>0.2441</v>
      </c>
      <c r="X10" s="20">
        <f>'伤害统计(理想)'!X10</f>
        <v>2.4336</v>
      </c>
      <c r="Y10" s="20">
        <f>'伤害统计(理想)'!Y10</f>
        <v>0.2441</v>
      </c>
      <c r="Z10" s="20">
        <f>'伤害统计(理想)'!Z10</f>
        <v>2.4336</v>
      </c>
      <c r="AA10" s="20">
        <f>'伤害统计(理想)'!AA10</f>
        <v>0.1953</v>
      </c>
      <c r="AB10" s="20">
        <f>'伤害统计(理想)'!AB10</f>
        <v>2.6289</v>
      </c>
      <c r="AC10" s="20">
        <f t="shared" si="0"/>
        <v>174890</v>
      </c>
      <c r="AD10" s="20">
        <f t="shared" si="1"/>
        <v>239962</v>
      </c>
      <c r="AE10" s="20">
        <f t="shared" si="2"/>
        <v>259183</v>
      </c>
      <c r="AF10" s="20">
        <f t="shared" si="3"/>
        <v>382921</v>
      </c>
      <c r="AG10" s="20">
        <f t="shared" si="4"/>
        <v>583971</v>
      </c>
      <c r="AH10" s="20">
        <f t="shared" si="11"/>
        <v>682584</v>
      </c>
      <c r="AI10" s="20">
        <f t="shared" si="5"/>
        <v>207426</v>
      </c>
      <c r="AJ10" s="20">
        <f t="shared" si="6"/>
        <v>504791</v>
      </c>
      <c r="AK10" s="20">
        <f t="shared" si="7"/>
        <v>224041</v>
      </c>
      <c r="AL10" s="20">
        <f t="shared" si="8"/>
        <v>545226</v>
      </c>
      <c r="AM10" s="20">
        <f t="shared" si="9"/>
        <v>630836</v>
      </c>
      <c r="AN10" s="20">
        <f t="shared" si="10"/>
        <v>681366</v>
      </c>
    </row>
    <row r="11" spans="1:40">
      <c r="A11" s="20" t="str">
        <f>'伤害统计(理想)'!A11</f>
        <v>两仪化形</v>
      </c>
      <c r="B11" s="20">
        <f>'伤害统计(理想)'!B11</f>
        <v>2739</v>
      </c>
      <c r="C11" s="20">
        <f>'伤害统计(理想)'!C11</f>
        <v>34400</v>
      </c>
      <c r="D11" s="20">
        <f>'伤害统计(理想)'!D11</f>
        <v>45792</v>
      </c>
      <c r="E11" s="20">
        <f>'伤害统计(理想)'!E11</f>
        <v>2.000625</v>
      </c>
      <c r="F11" s="20">
        <f>'伤害统计(理想)'!F11</f>
        <v>1</v>
      </c>
      <c r="G11" s="20">
        <f>'伤害统计(理想)'!G11</f>
        <v>0.09</v>
      </c>
      <c r="H11" s="20">
        <f>'伤害统计(理想)'!H11</f>
        <v>0.2</v>
      </c>
      <c r="I11" s="20">
        <f>'伤害统计(理想)'!I11</f>
        <v>0.05</v>
      </c>
      <c r="J11" s="8">
        <f>J2</f>
        <v>0.474365</v>
      </c>
      <c r="K11" s="20">
        <f>'伤害统计(理想)'!K11</f>
        <v>0.1181</v>
      </c>
      <c r="L11" s="20">
        <f>'伤害统计(理想)'!L11</f>
        <v>0.177214436704937</v>
      </c>
      <c r="M11" s="20">
        <f>'伤害统计(理想)'!M11</f>
        <v>0.3473</v>
      </c>
      <c r="N11" s="20">
        <f>'伤害统计(理想)'!N11</f>
        <v>0.2</v>
      </c>
      <c r="O11" s="20">
        <f>'伤害统计(理想)'!O11</f>
        <v>0.4994</v>
      </c>
      <c r="P11" s="20">
        <f>'伤害统计(理想)'!P11</f>
        <v>0.04</v>
      </c>
      <c r="Q11" s="20">
        <f>'伤害统计(理想)'!Q11</f>
        <v>0.5394</v>
      </c>
      <c r="R11" s="20">
        <f>'伤害统计(理想)'!R11</f>
        <v>0.2441</v>
      </c>
      <c r="S11" s="20">
        <f>'伤害统计(理想)'!S11</f>
        <v>0.7835</v>
      </c>
      <c r="T11" s="20">
        <f>'伤害统计(理想)'!T11</f>
        <v>2.0895</v>
      </c>
      <c r="U11" s="20">
        <f>'伤害统计(理想)'!U11</f>
        <v>0</v>
      </c>
      <c r="V11" s="20">
        <f>'伤害统计(理想)'!V11</f>
        <v>2.0895</v>
      </c>
      <c r="W11" s="20">
        <f>'伤害统计(理想)'!W11</f>
        <v>0.2441</v>
      </c>
      <c r="X11" s="20">
        <f>'伤害统计(理想)'!X11</f>
        <v>2.3336</v>
      </c>
      <c r="Y11" s="20">
        <f>'伤害统计(理想)'!Y11</f>
        <v>0.2441</v>
      </c>
      <c r="Z11" s="20">
        <f>'伤害统计(理想)'!Z11</f>
        <v>2.3336</v>
      </c>
      <c r="AA11" s="20">
        <f>'伤害统计(理想)'!AA11</f>
        <v>0.1953</v>
      </c>
      <c r="AB11" s="20">
        <f>'伤害统计(理想)'!AB11</f>
        <v>2.5289</v>
      </c>
      <c r="AC11" s="20">
        <f t="shared" si="0"/>
        <v>167098</v>
      </c>
      <c r="AD11" s="20">
        <f t="shared" si="1"/>
        <v>228041</v>
      </c>
      <c r="AE11" s="20">
        <f t="shared" si="2"/>
        <v>246308</v>
      </c>
      <c r="AF11" s="20">
        <f t="shared" si="3"/>
        <v>349151</v>
      </c>
      <c r="AG11" s="20">
        <f t="shared" si="4"/>
        <v>532156</v>
      </c>
      <c r="AH11" s="20">
        <f t="shared" si="11"/>
        <v>624045</v>
      </c>
      <c r="AI11" s="20">
        <f t="shared" si="5"/>
        <v>197570</v>
      </c>
      <c r="AJ11" s="20">
        <f t="shared" si="6"/>
        <v>461049</v>
      </c>
      <c r="AK11" s="20">
        <f t="shared" si="7"/>
        <v>213396</v>
      </c>
      <c r="AL11" s="20">
        <f t="shared" si="8"/>
        <v>497980</v>
      </c>
      <c r="AM11" s="20">
        <f t="shared" si="9"/>
        <v>576692</v>
      </c>
      <c r="AN11" s="20">
        <f t="shared" si="10"/>
        <v>622888</v>
      </c>
    </row>
    <row r="12" spans="1:40">
      <c r="A12" s="20" t="str">
        <f>'伤害统计(理想)'!A12</f>
        <v>两仪化形(4</v>
      </c>
      <c r="B12" s="20">
        <f>'伤害统计(理想)'!B12</f>
        <v>2466</v>
      </c>
      <c r="C12" s="20">
        <f>'伤害统计(理想)'!C12</f>
        <v>34400</v>
      </c>
      <c r="D12" s="20">
        <f>'伤害统计(理想)'!D12</f>
        <v>45792</v>
      </c>
      <c r="E12" s="20">
        <f>'伤害统计(理想)'!E12</f>
        <v>1.654186908</v>
      </c>
      <c r="F12" s="20">
        <f>'伤害统计(理想)'!F12</f>
        <v>1</v>
      </c>
      <c r="G12" s="20">
        <f>'伤害统计(理想)'!G12</f>
        <v>0.09</v>
      </c>
      <c r="H12" s="20">
        <f>'伤害统计(理想)'!H12</f>
        <v>0.2</v>
      </c>
      <c r="I12" s="20">
        <f>'伤害统计(理想)'!I12</f>
        <v>0.05</v>
      </c>
      <c r="J12" s="8">
        <f>J2</f>
        <v>0.474365</v>
      </c>
      <c r="K12" s="20">
        <f>'伤害统计(理想)'!K12</f>
        <v>0.1181</v>
      </c>
      <c r="L12" s="20">
        <f>'伤害统计(理想)'!L12</f>
        <v>0.177214436704937</v>
      </c>
      <c r="M12" s="20">
        <f>'伤害统计(理想)'!M12</f>
        <v>0.3473</v>
      </c>
      <c r="N12" s="20">
        <f>'伤害统计(理想)'!N12</f>
        <v>0.2</v>
      </c>
      <c r="O12" s="20">
        <f>'伤害统计(理想)'!O12</f>
        <v>0.4994</v>
      </c>
      <c r="P12" s="20">
        <f>'伤害统计(理想)'!P12</f>
        <v>0.04</v>
      </c>
      <c r="Q12" s="20">
        <f>'伤害统计(理想)'!Q12</f>
        <v>0.5394</v>
      </c>
      <c r="R12" s="20">
        <f>'伤害统计(理想)'!R12</f>
        <v>0.2441</v>
      </c>
      <c r="S12" s="20">
        <f>'伤害统计(理想)'!S12</f>
        <v>0.7835</v>
      </c>
      <c r="T12" s="20">
        <f>'伤害统计(理想)'!T12</f>
        <v>2.0895</v>
      </c>
      <c r="U12" s="20">
        <f>'伤害统计(理想)'!U12</f>
        <v>0</v>
      </c>
      <c r="V12" s="20">
        <f>'伤害统计(理想)'!V12</f>
        <v>2.0895</v>
      </c>
      <c r="W12" s="20">
        <f>'伤害统计(理想)'!W12</f>
        <v>0.2441</v>
      </c>
      <c r="X12" s="20">
        <f>'伤害统计(理想)'!X12</f>
        <v>2.3336</v>
      </c>
      <c r="Y12" s="20">
        <f>'伤害统计(理想)'!Y12</f>
        <v>0.2441</v>
      </c>
      <c r="Z12" s="20">
        <f>'伤害统计(理想)'!Z12</f>
        <v>2.3336</v>
      </c>
      <c r="AA12" s="20">
        <f>'伤害统计(理想)'!AA12</f>
        <v>0.1953</v>
      </c>
      <c r="AB12" s="20">
        <f>'伤害统计(理想)'!AB12</f>
        <v>2.5289</v>
      </c>
      <c r="AC12" s="20">
        <f t="shared" si="0"/>
        <v>138519</v>
      </c>
      <c r="AD12" s="20">
        <f t="shared" si="1"/>
        <v>188909</v>
      </c>
      <c r="AE12" s="20">
        <f t="shared" si="2"/>
        <v>204041</v>
      </c>
      <c r="AF12" s="20">
        <f t="shared" si="3"/>
        <v>289435</v>
      </c>
      <c r="AG12" s="20">
        <f t="shared" si="4"/>
        <v>440838</v>
      </c>
      <c r="AH12" s="20">
        <f t="shared" si="11"/>
        <v>516958</v>
      </c>
      <c r="AI12" s="20">
        <f t="shared" si="5"/>
        <v>163714</v>
      </c>
      <c r="AJ12" s="20">
        <f t="shared" si="6"/>
        <v>382042</v>
      </c>
      <c r="AK12" s="20">
        <f t="shared" si="7"/>
        <v>176828</v>
      </c>
      <c r="AL12" s="20">
        <f t="shared" si="8"/>
        <v>412645</v>
      </c>
      <c r="AM12" s="20">
        <f t="shared" si="9"/>
        <v>477731</v>
      </c>
      <c r="AN12" s="20">
        <f t="shared" si="10"/>
        <v>515999</v>
      </c>
    </row>
    <row r="13" spans="1:40">
      <c r="A13" s="20" t="str">
        <f>'伤害统计(理想)'!A13</f>
        <v>两仪化形(3.5</v>
      </c>
      <c r="B13" s="20">
        <f>'伤害统计(理想)'!B13</f>
        <v>2191</v>
      </c>
      <c r="C13" s="20">
        <f>'伤害统计(理想)'!C13</f>
        <v>34400</v>
      </c>
      <c r="D13" s="20">
        <f>'伤害统计(理想)'!D13</f>
        <v>45792</v>
      </c>
      <c r="E13" s="20">
        <f>'伤害统计(理想)'!E13</f>
        <v>1.4586550308</v>
      </c>
      <c r="F13" s="20">
        <f>'伤害统计(理想)'!F13</f>
        <v>1</v>
      </c>
      <c r="G13" s="20">
        <f>'伤害统计(理想)'!G13</f>
        <v>0.09</v>
      </c>
      <c r="H13" s="20">
        <f>'伤害统计(理想)'!H13</f>
        <v>0.2</v>
      </c>
      <c r="I13" s="20">
        <f>'伤害统计(理想)'!I13</f>
        <v>0.05</v>
      </c>
      <c r="J13" s="8">
        <f>J2</f>
        <v>0.474365</v>
      </c>
      <c r="K13" s="20">
        <f>'伤害统计(理想)'!K13</f>
        <v>0.1181</v>
      </c>
      <c r="L13" s="20">
        <f>'伤害统计(理想)'!L13</f>
        <v>0.177214436704937</v>
      </c>
      <c r="M13" s="20">
        <f>'伤害统计(理想)'!M13</f>
        <v>0.3473</v>
      </c>
      <c r="N13" s="20">
        <f>'伤害统计(理想)'!N13</f>
        <v>0.2</v>
      </c>
      <c r="O13" s="20">
        <f>'伤害统计(理想)'!O13</f>
        <v>0.4994</v>
      </c>
      <c r="P13" s="20">
        <f>'伤害统计(理想)'!P13</f>
        <v>0.04</v>
      </c>
      <c r="Q13" s="20">
        <f>'伤害统计(理想)'!Q13</f>
        <v>0.5394</v>
      </c>
      <c r="R13" s="20">
        <f>'伤害统计(理想)'!R13</f>
        <v>0.2441</v>
      </c>
      <c r="S13" s="20">
        <f>'伤害统计(理想)'!S13</f>
        <v>0.7835</v>
      </c>
      <c r="T13" s="20">
        <f>'伤害统计(理想)'!T13</f>
        <v>2.0895</v>
      </c>
      <c r="U13" s="20">
        <f>'伤害统计(理想)'!U13</f>
        <v>0</v>
      </c>
      <c r="V13" s="20">
        <f>'伤害统计(理想)'!V13</f>
        <v>2.0895</v>
      </c>
      <c r="W13" s="20">
        <f>'伤害统计(理想)'!W13</f>
        <v>0.2441</v>
      </c>
      <c r="X13" s="20">
        <f>'伤害统计(理想)'!X13</f>
        <v>2.3336</v>
      </c>
      <c r="Y13" s="20">
        <f>'伤害统计(理想)'!Y13</f>
        <v>0.2441</v>
      </c>
      <c r="Z13" s="20">
        <f>'伤害统计(理想)'!Z13</f>
        <v>2.3336</v>
      </c>
      <c r="AA13" s="20">
        <f>'伤害统计(理想)'!AA13</f>
        <v>0.1953</v>
      </c>
      <c r="AB13" s="20">
        <f>'伤害统计(理想)'!AB13</f>
        <v>2.5289</v>
      </c>
      <c r="AC13" s="20">
        <f t="shared" si="0"/>
        <v>122174</v>
      </c>
      <c r="AD13" s="20">
        <f t="shared" si="1"/>
        <v>166608</v>
      </c>
      <c r="AE13" s="20">
        <f t="shared" si="2"/>
        <v>179954</v>
      </c>
      <c r="AF13" s="20">
        <f t="shared" si="3"/>
        <v>255282</v>
      </c>
      <c r="AG13" s="20">
        <f t="shared" si="4"/>
        <v>388796</v>
      </c>
      <c r="AH13" s="20">
        <f t="shared" si="11"/>
        <v>455931</v>
      </c>
      <c r="AI13" s="20">
        <f t="shared" si="5"/>
        <v>144392</v>
      </c>
      <c r="AJ13" s="20">
        <f t="shared" si="6"/>
        <v>336953</v>
      </c>
      <c r="AK13" s="20">
        <f t="shared" si="7"/>
        <v>155958</v>
      </c>
      <c r="AL13" s="20">
        <f t="shared" si="8"/>
        <v>363943</v>
      </c>
      <c r="AM13" s="20">
        <f t="shared" si="9"/>
        <v>421334</v>
      </c>
      <c r="AN13" s="20">
        <f t="shared" si="10"/>
        <v>455085</v>
      </c>
    </row>
    <row r="14" spans="1:40">
      <c r="A14" s="20" t="str">
        <f>'伤害统计(理想)'!A14</f>
        <v>六合1</v>
      </c>
      <c r="B14" s="20">
        <f>'伤害统计(理想)'!B14</f>
        <v>90</v>
      </c>
      <c r="C14" s="20">
        <f>'伤害统计(理想)'!C14</f>
        <v>34400</v>
      </c>
      <c r="D14" s="20">
        <f>'伤害统计(理想)'!D14</f>
        <v>45792</v>
      </c>
      <c r="E14" s="20">
        <f>'伤害统计(理想)'!E14</f>
        <v>0.854167</v>
      </c>
      <c r="F14" s="20">
        <f>'伤害统计(理想)'!F14</f>
        <v>1</v>
      </c>
      <c r="G14" s="20">
        <f>'伤害统计(理想)'!G14</f>
        <v>0</v>
      </c>
      <c r="H14" s="20">
        <f>'伤害统计(理想)'!H14</f>
        <v>0</v>
      </c>
      <c r="I14" s="20">
        <f>'伤害统计(理想)'!I14</f>
        <v>0.05</v>
      </c>
      <c r="J14" s="8">
        <f>J2</f>
        <v>0.474365</v>
      </c>
      <c r="K14" s="20">
        <f>'伤害统计(理想)'!K14</f>
        <v>0.1181</v>
      </c>
      <c r="L14" s="20">
        <f>'伤害统计(理想)'!L14</f>
        <v>0.177214436704937</v>
      </c>
      <c r="M14" s="20">
        <f>'伤害统计(理想)'!M14</f>
        <v>0.3473</v>
      </c>
      <c r="N14" s="20">
        <f>'伤害统计(理想)'!N14</f>
        <v>0.2</v>
      </c>
      <c r="O14" s="20">
        <f>'伤害统计(理想)'!O14</f>
        <v>0.4994</v>
      </c>
      <c r="P14" s="20">
        <f>'伤害统计(理想)'!P14</f>
        <v>0</v>
      </c>
      <c r="Q14" s="20">
        <f>'伤害统计(理想)'!Q14</f>
        <v>0.4994</v>
      </c>
      <c r="R14" s="20">
        <f>'伤害统计(理想)'!R14</f>
        <v>0.2441</v>
      </c>
      <c r="S14" s="20">
        <f>'伤害统计(理想)'!S14</f>
        <v>0.7435</v>
      </c>
      <c r="T14" s="20">
        <f>'伤害统计(理想)'!T14</f>
        <v>2.0895</v>
      </c>
      <c r="U14" s="20">
        <f>'伤害统计(理想)'!U14</f>
        <v>0</v>
      </c>
      <c r="V14" s="20">
        <f>'伤害统计(理想)'!V14</f>
        <v>2.0895</v>
      </c>
      <c r="W14" s="20">
        <f>'伤害统计(理想)'!W14</f>
        <v>0.2441</v>
      </c>
      <c r="X14" s="20">
        <f>'伤害统计(理想)'!X14</f>
        <v>2.3336</v>
      </c>
      <c r="Y14" s="20">
        <f>'伤害统计(理想)'!Y14</f>
        <v>0.2441</v>
      </c>
      <c r="Z14" s="20">
        <f>'伤害统计(理想)'!Z14</f>
        <v>2.3336</v>
      </c>
      <c r="AA14" s="20">
        <f>'伤害统计(理想)'!AA14</f>
        <v>0.1953</v>
      </c>
      <c r="AB14" s="20">
        <f>'伤害统计(理想)'!AB14</f>
        <v>2.5289</v>
      </c>
      <c r="AC14" s="20">
        <f t="shared" si="0"/>
        <v>53822</v>
      </c>
      <c r="AD14" s="20">
        <f t="shared" si="1"/>
        <v>73992</v>
      </c>
      <c r="AE14" s="20">
        <f t="shared" si="2"/>
        <v>79919</v>
      </c>
      <c r="AF14" s="20">
        <f t="shared" si="3"/>
        <v>112461</v>
      </c>
      <c r="AG14" s="20">
        <f t="shared" si="4"/>
        <v>172667</v>
      </c>
      <c r="AH14" s="20">
        <f t="shared" si="11"/>
        <v>202482</v>
      </c>
      <c r="AI14" s="20">
        <f t="shared" si="5"/>
        <v>63907</v>
      </c>
      <c r="AJ14" s="20">
        <f t="shared" si="6"/>
        <v>149133</v>
      </c>
      <c r="AK14" s="20">
        <f t="shared" si="7"/>
        <v>69026</v>
      </c>
      <c r="AL14" s="20">
        <f t="shared" si="8"/>
        <v>161079</v>
      </c>
      <c r="AM14" s="20">
        <f t="shared" si="9"/>
        <v>187118</v>
      </c>
      <c r="AN14" s="20">
        <f t="shared" si="10"/>
        <v>202107</v>
      </c>
    </row>
    <row r="15" spans="1:40">
      <c r="A15" s="20" t="str">
        <f>'伤害统计(理想)'!A15</f>
        <v>六合2</v>
      </c>
      <c r="B15" s="20">
        <f>'伤害统计(理想)'!B15</f>
        <v>90</v>
      </c>
      <c r="C15" s="20">
        <f>'伤害统计(理想)'!C15</f>
        <v>34400</v>
      </c>
      <c r="D15" s="20">
        <f>'伤害统计(理想)'!D15</f>
        <v>45792</v>
      </c>
      <c r="E15" s="20">
        <f>'伤害统计(理想)'!E15</f>
        <v>0.854167</v>
      </c>
      <c r="F15" s="20">
        <f>'伤害统计(理想)'!F15</f>
        <v>1</v>
      </c>
      <c r="G15" s="20">
        <f>'伤害统计(理想)'!G15</f>
        <v>0</v>
      </c>
      <c r="H15" s="20">
        <f>'伤害统计(理想)'!H15</f>
        <v>0.35</v>
      </c>
      <c r="I15" s="20">
        <f>'伤害统计(理想)'!I15</f>
        <v>0.05</v>
      </c>
      <c r="J15" s="8">
        <f>J2</f>
        <v>0.474365</v>
      </c>
      <c r="K15" s="20">
        <f>'伤害统计(理想)'!K15</f>
        <v>0.1181</v>
      </c>
      <c r="L15" s="20">
        <f>'伤害统计(理想)'!L15</f>
        <v>0.177214436704937</v>
      </c>
      <c r="M15" s="20">
        <f>'伤害统计(理想)'!M15</f>
        <v>0.3473</v>
      </c>
      <c r="N15" s="20">
        <f>'伤害统计(理想)'!N15</f>
        <v>0.2</v>
      </c>
      <c r="O15" s="20">
        <f>'伤害统计(理想)'!O15</f>
        <v>0.4994</v>
      </c>
      <c r="P15" s="20">
        <f>'伤害统计(理想)'!P15</f>
        <v>0</v>
      </c>
      <c r="Q15" s="20">
        <f>'伤害统计(理想)'!Q15</f>
        <v>0.4994</v>
      </c>
      <c r="R15" s="20">
        <f>'伤害统计(理想)'!R15</f>
        <v>0.2441</v>
      </c>
      <c r="S15" s="20">
        <f>'伤害统计(理想)'!S15</f>
        <v>0.7435</v>
      </c>
      <c r="T15" s="20">
        <f>'伤害统计(理想)'!T15</f>
        <v>2.0895</v>
      </c>
      <c r="U15" s="20">
        <f>'伤害统计(理想)'!U15</f>
        <v>0</v>
      </c>
      <c r="V15" s="20">
        <f>'伤害统计(理想)'!V15</f>
        <v>2.0895</v>
      </c>
      <c r="W15" s="20">
        <f>'伤害统计(理想)'!W15</f>
        <v>0.2441</v>
      </c>
      <c r="X15" s="20">
        <f>'伤害统计(理想)'!X15</f>
        <v>2.3336</v>
      </c>
      <c r="Y15" s="20">
        <f>'伤害统计(理想)'!Y15</f>
        <v>0.2441</v>
      </c>
      <c r="Z15" s="20">
        <f>'伤害统计(理想)'!Z15</f>
        <v>2.3336</v>
      </c>
      <c r="AA15" s="20">
        <f>'伤害统计(理想)'!AA15</f>
        <v>0.1953</v>
      </c>
      <c r="AB15" s="20">
        <f>'伤害统计(理想)'!AB15</f>
        <v>2.5289</v>
      </c>
      <c r="AC15" s="20">
        <f t="shared" si="0"/>
        <v>72660</v>
      </c>
      <c r="AD15" s="20">
        <f t="shared" si="1"/>
        <v>99890</v>
      </c>
      <c r="AE15" s="20">
        <f t="shared" si="2"/>
        <v>107891</v>
      </c>
      <c r="AF15" s="20">
        <f t="shared" si="3"/>
        <v>151823</v>
      </c>
      <c r="AG15" s="20">
        <f t="shared" si="4"/>
        <v>233103</v>
      </c>
      <c r="AH15" s="20">
        <f>INT(AE15*(T15+U15+0.4441+按提示输入属性!D64*0.1953))</f>
        <v>294423</v>
      </c>
      <c r="AI15" s="20">
        <f t="shared" si="5"/>
        <v>86275</v>
      </c>
      <c r="AJ15" s="20">
        <f t="shared" si="6"/>
        <v>201331</v>
      </c>
      <c r="AK15" s="20">
        <f t="shared" si="7"/>
        <v>93186</v>
      </c>
      <c r="AL15" s="20">
        <f t="shared" si="8"/>
        <v>217458</v>
      </c>
      <c r="AM15" s="20">
        <f t="shared" si="9"/>
        <v>252611</v>
      </c>
      <c r="AN15" s="20">
        <f t="shared" si="10"/>
        <v>272845</v>
      </c>
    </row>
    <row r="16" spans="1:40">
      <c r="A16" s="20" t="str">
        <f>'伤害统计(理想)'!A16</f>
        <v>六合3</v>
      </c>
      <c r="B16" s="20">
        <f>'伤害统计(理想)'!B16</f>
        <v>90</v>
      </c>
      <c r="C16" s="20">
        <f>'伤害统计(理想)'!C16</f>
        <v>34400</v>
      </c>
      <c r="D16" s="20">
        <f>'伤害统计(理想)'!D16</f>
        <v>45792</v>
      </c>
      <c r="E16" s="20">
        <f>'伤害统计(理想)'!E16</f>
        <v>0.854167</v>
      </c>
      <c r="F16" s="20">
        <f>'伤害统计(理想)'!F16</f>
        <v>1</v>
      </c>
      <c r="G16" s="20">
        <f>'伤害统计(理想)'!G16</f>
        <v>0</v>
      </c>
      <c r="H16" s="20">
        <f>'伤害统计(理想)'!H16</f>
        <v>0.7</v>
      </c>
      <c r="I16" s="20">
        <f>'伤害统计(理想)'!I16</f>
        <v>0.05</v>
      </c>
      <c r="J16" s="8">
        <f>J2</f>
        <v>0.474365</v>
      </c>
      <c r="K16" s="20">
        <f>'伤害统计(理想)'!K16</f>
        <v>0.1181</v>
      </c>
      <c r="L16" s="20">
        <f>'伤害统计(理想)'!L16</f>
        <v>0.177214436704937</v>
      </c>
      <c r="M16" s="20">
        <f>'伤害统计(理想)'!M16</f>
        <v>0.3473</v>
      </c>
      <c r="N16" s="20">
        <f>'伤害统计(理想)'!N16</f>
        <v>0.2</v>
      </c>
      <c r="O16" s="20">
        <f>'伤害统计(理想)'!O16</f>
        <v>0.4994</v>
      </c>
      <c r="P16" s="20">
        <f>'伤害统计(理想)'!P16</f>
        <v>0</v>
      </c>
      <c r="Q16" s="20">
        <f>'伤害统计(理想)'!Q16</f>
        <v>0.4994</v>
      </c>
      <c r="R16" s="20">
        <f>'伤害统计(理想)'!R16</f>
        <v>0.2441</v>
      </c>
      <c r="S16" s="20">
        <f>'伤害统计(理想)'!S16</f>
        <v>0.7435</v>
      </c>
      <c r="T16" s="20">
        <f>'伤害统计(理想)'!T16</f>
        <v>2.0895</v>
      </c>
      <c r="U16" s="20">
        <f>'伤害统计(理想)'!U16</f>
        <v>0</v>
      </c>
      <c r="V16" s="20">
        <f>'伤害统计(理想)'!V16</f>
        <v>2.0895</v>
      </c>
      <c r="W16" s="20">
        <f>'伤害统计(理想)'!W16</f>
        <v>0.2441</v>
      </c>
      <c r="X16" s="20">
        <f>'伤害统计(理想)'!X16</f>
        <v>2.3336</v>
      </c>
      <c r="Y16" s="20">
        <f>'伤害统计(理想)'!Y16</f>
        <v>0.2441</v>
      </c>
      <c r="Z16" s="20">
        <f>'伤害统计(理想)'!Z16</f>
        <v>2.3336</v>
      </c>
      <c r="AA16" s="20">
        <f>'伤害统计(理想)'!AA16</f>
        <v>0.1953</v>
      </c>
      <c r="AB16" s="20">
        <f>'伤害统计(理想)'!AB16</f>
        <v>2.5289</v>
      </c>
      <c r="AC16" s="20">
        <f t="shared" si="0"/>
        <v>91498</v>
      </c>
      <c r="AD16" s="20">
        <f t="shared" si="1"/>
        <v>125787</v>
      </c>
      <c r="AE16" s="20">
        <f t="shared" si="2"/>
        <v>135863</v>
      </c>
      <c r="AF16" s="20">
        <f t="shared" si="3"/>
        <v>191185</v>
      </c>
      <c r="AG16" s="20">
        <f t="shared" si="4"/>
        <v>293536</v>
      </c>
      <c r="AH16" s="20">
        <f>INT(AE16*(T16+U16+0.4441+按提示输入属性!D64*0.1953))</f>
        <v>370756</v>
      </c>
      <c r="AI16" s="20">
        <f t="shared" si="5"/>
        <v>108643</v>
      </c>
      <c r="AJ16" s="20">
        <f t="shared" si="6"/>
        <v>253529</v>
      </c>
      <c r="AK16" s="20">
        <f t="shared" si="7"/>
        <v>117345</v>
      </c>
      <c r="AL16" s="20">
        <f t="shared" si="8"/>
        <v>273836</v>
      </c>
      <c r="AM16" s="20">
        <f t="shared" si="9"/>
        <v>318102</v>
      </c>
      <c r="AN16" s="20">
        <f t="shared" si="10"/>
        <v>343583</v>
      </c>
    </row>
    <row r="17" spans="1:40">
      <c r="A17" s="20" t="str">
        <f>'伤害统计(理想)'!A17</f>
        <v>六合4</v>
      </c>
      <c r="B17" s="20">
        <f>'伤害统计(理想)'!B17</f>
        <v>90</v>
      </c>
      <c r="C17" s="20">
        <f>'伤害统计(理想)'!C17</f>
        <v>34400</v>
      </c>
      <c r="D17" s="20">
        <f>'伤害统计(理想)'!D17</f>
        <v>45792</v>
      </c>
      <c r="E17" s="20">
        <f>'伤害统计(理想)'!E17</f>
        <v>0.854167</v>
      </c>
      <c r="F17" s="20">
        <f>'伤害统计(理想)'!F17</f>
        <v>1</v>
      </c>
      <c r="G17" s="20">
        <f>'伤害统计(理想)'!G17</f>
        <v>0</v>
      </c>
      <c r="H17" s="20">
        <f>'伤害统计(理想)'!H17</f>
        <v>1.05</v>
      </c>
      <c r="I17" s="20">
        <f>'伤害统计(理想)'!I17</f>
        <v>0.05</v>
      </c>
      <c r="J17" s="8">
        <f>J2</f>
        <v>0.474365</v>
      </c>
      <c r="K17" s="20">
        <f>'伤害统计(理想)'!K17</f>
        <v>0.1181</v>
      </c>
      <c r="L17" s="20">
        <f>'伤害统计(理想)'!L17</f>
        <v>0.177214436704937</v>
      </c>
      <c r="M17" s="20">
        <f>'伤害统计(理想)'!M17</f>
        <v>0.3473</v>
      </c>
      <c r="N17" s="20">
        <f>'伤害统计(理想)'!N17</f>
        <v>0.2</v>
      </c>
      <c r="O17" s="20">
        <f>'伤害统计(理想)'!O17</f>
        <v>0.4994</v>
      </c>
      <c r="P17" s="20">
        <f>'伤害统计(理想)'!P17</f>
        <v>0</v>
      </c>
      <c r="Q17" s="20">
        <f>'伤害统计(理想)'!Q17</f>
        <v>0.4994</v>
      </c>
      <c r="R17" s="20">
        <f>'伤害统计(理想)'!R17</f>
        <v>0.2441</v>
      </c>
      <c r="S17" s="20">
        <f>'伤害统计(理想)'!S17</f>
        <v>0.7435</v>
      </c>
      <c r="T17" s="20">
        <f>'伤害统计(理想)'!T17</f>
        <v>2.0895</v>
      </c>
      <c r="U17" s="20">
        <f>'伤害统计(理想)'!U17</f>
        <v>0</v>
      </c>
      <c r="V17" s="20">
        <f>'伤害统计(理想)'!V17</f>
        <v>2.0895</v>
      </c>
      <c r="W17" s="20">
        <f>'伤害统计(理想)'!W17</f>
        <v>0.2441</v>
      </c>
      <c r="X17" s="20">
        <f>'伤害统计(理想)'!X17</f>
        <v>2.3336</v>
      </c>
      <c r="Y17" s="20">
        <f>'伤害统计(理想)'!Y17</f>
        <v>0.2441</v>
      </c>
      <c r="Z17" s="20">
        <f>'伤害统计(理想)'!Z17</f>
        <v>2.3336</v>
      </c>
      <c r="AA17" s="20">
        <f>'伤害统计(理想)'!AA17</f>
        <v>0.1953</v>
      </c>
      <c r="AB17" s="20">
        <f>'伤害统计(理想)'!AB17</f>
        <v>2.5289</v>
      </c>
      <c r="AC17" s="20">
        <f t="shared" si="0"/>
        <v>110336</v>
      </c>
      <c r="AD17" s="20">
        <f t="shared" si="1"/>
        <v>151685</v>
      </c>
      <c r="AE17" s="20">
        <f t="shared" si="2"/>
        <v>163835</v>
      </c>
      <c r="AF17" s="20">
        <f t="shared" si="3"/>
        <v>230547</v>
      </c>
      <c r="AG17" s="20">
        <f t="shared" si="4"/>
        <v>353972</v>
      </c>
      <c r="AH17" s="20">
        <f>INT(AE17*(T17+U17+0.4441+按提示输入属性!D64*0.1953))</f>
        <v>447089</v>
      </c>
      <c r="AI17" s="20">
        <f t="shared" si="5"/>
        <v>131010</v>
      </c>
      <c r="AJ17" s="20">
        <f t="shared" si="6"/>
        <v>305724</v>
      </c>
      <c r="AK17" s="20">
        <f t="shared" si="7"/>
        <v>141505</v>
      </c>
      <c r="AL17" s="20">
        <f t="shared" si="8"/>
        <v>330216</v>
      </c>
      <c r="AM17" s="20">
        <f t="shared" si="9"/>
        <v>383596</v>
      </c>
      <c r="AN17" s="20">
        <f t="shared" si="10"/>
        <v>414322</v>
      </c>
    </row>
    <row r="18" spans="1:40">
      <c r="A18" s="20" t="str">
        <f>'伤害统计(理想)'!A18</f>
        <v>六合5</v>
      </c>
      <c r="B18" s="20">
        <f>'伤害统计(理想)'!B18</f>
        <v>90</v>
      </c>
      <c r="C18" s="20">
        <f>'伤害统计(理想)'!C18</f>
        <v>34400</v>
      </c>
      <c r="D18" s="20">
        <f>'伤害统计(理想)'!D18</f>
        <v>45792</v>
      </c>
      <c r="E18" s="20">
        <f>'伤害统计(理想)'!E18</f>
        <v>0.854167</v>
      </c>
      <c r="F18" s="20">
        <f>'伤害统计(理想)'!F18</f>
        <v>1</v>
      </c>
      <c r="G18" s="20">
        <f>'伤害统计(理想)'!G18</f>
        <v>0</v>
      </c>
      <c r="H18" s="20">
        <f>'伤害统计(理想)'!H18</f>
        <v>1.4</v>
      </c>
      <c r="I18" s="20">
        <f>'伤害统计(理想)'!I18</f>
        <v>0.05</v>
      </c>
      <c r="J18" s="8">
        <f>J2</f>
        <v>0.474365</v>
      </c>
      <c r="K18" s="20">
        <f>'伤害统计(理想)'!K18</f>
        <v>0.1181</v>
      </c>
      <c r="L18" s="20">
        <f>'伤害统计(理想)'!L18</f>
        <v>0.177214436704937</v>
      </c>
      <c r="M18" s="20">
        <f>'伤害统计(理想)'!M18</f>
        <v>0.3473</v>
      </c>
      <c r="N18" s="20">
        <f>'伤害统计(理想)'!N18</f>
        <v>0.2</v>
      </c>
      <c r="O18" s="20">
        <f>'伤害统计(理想)'!O18</f>
        <v>0.4994</v>
      </c>
      <c r="P18" s="20">
        <f>'伤害统计(理想)'!P18</f>
        <v>0</v>
      </c>
      <c r="Q18" s="20">
        <f>'伤害统计(理想)'!Q18</f>
        <v>0.4994</v>
      </c>
      <c r="R18" s="20">
        <f>'伤害统计(理想)'!R18</f>
        <v>0.2441</v>
      </c>
      <c r="S18" s="20">
        <f>'伤害统计(理想)'!S18</f>
        <v>0.7435</v>
      </c>
      <c r="T18" s="20">
        <f>'伤害统计(理想)'!T18</f>
        <v>2.0895</v>
      </c>
      <c r="U18" s="20">
        <f>'伤害统计(理想)'!U18</f>
        <v>0</v>
      </c>
      <c r="V18" s="20">
        <f>'伤害统计(理想)'!V18</f>
        <v>2.0895</v>
      </c>
      <c r="W18" s="20">
        <f>'伤害统计(理想)'!W18</f>
        <v>0.2441</v>
      </c>
      <c r="X18" s="20">
        <f>'伤害统计(理想)'!X18</f>
        <v>2.3336</v>
      </c>
      <c r="Y18" s="20">
        <f>'伤害统计(理想)'!Y18</f>
        <v>0.2441</v>
      </c>
      <c r="Z18" s="20">
        <f>'伤害统计(理想)'!Z18</f>
        <v>2.3336</v>
      </c>
      <c r="AA18" s="20">
        <f>'伤害统计(理想)'!AA18</f>
        <v>0.1953</v>
      </c>
      <c r="AB18" s="20">
        <f>'伤害统计(理想)'!AB18</f>
        <v>2.5289</v>
      </c>
      <c r="AC18" s="20">
        <f t="shared" si="0"/>
        <v>129174</v>
      </c>
      <c r="AD18" s="20">
        <f t="shared" si="1"/>
        <v>177582</v>
      </c>
      <c r="AE18" s="20">
        <f t="shared" si="2"/>
        <v>191807</v>
      </c>
      <c r="AF18" s="20">
        <f t="shared" si="3"/>
        <v>269909</v>
      </c>
      <c r="AG18" s="20">
        <f t="shared" si="4"/>
        <v>414405</v>
      </c>
      <c r="AH18" s="20">
        <f>INT(AE18*(T18+U18+0.4441+按提示输入属性!D64*0.1953))</f>
        <v>523422</v>
      </c>
      <c r="AI18" s="20">
        <f t="shared" si="5"/>
        <v>153378</v>
      </c>
      <c r="AJ18" s="20">
        <f t="shared" si="6"/>
        <v>357922</v>
      </c>
      <c r="AK18" s="20">
        <f t="shared" si="7"/>
        <v>165664</v>
      </c>
      <c r="AL18" s="20">
        <f t="shared" si="8"/>
        <v>386593</v>
      </c>
      <c r="AM18" s="20">
        <f t="shared" si="9"/>
        <v>449087</v>
      </c>
      <c r="AN18" s="20">
        <f t="shared" si="10"/>
        <v>485060</v>
      </c>
    </row>
    <row r="19" spans="1:40">
      <c r="A19" s="20" t="str">
        <f>'伤害统计(理想)'!A19</f>
        <v>破</v>
      </c>
      <c r="B19" s="20">
        <f>'伤害统计(理想)'!B19</f>
        <v>0</v>
      </c>
      <c r="C19" s="20">
        <f>'伤害统计(理想)'!C19</f>
        <v>0</v>
      </c>
      <c r="D19" s="20">
        <f>'伤害统计(理想)'!D19</f>
        <v>21804</v>
      </c>
      <c r="E19" s="20">
        <f>'伤害统计(理想)'!E19</f>
        <v>10.94936</v>
      </c>
      <c r="F19" s="20">
        <f>'伤害统计(理想)'!F19</f>
        <v>1</v>
      </c>
      <c r="G19" s="20">
        <f>'伤害统计(理想)'!G19</f>
        <v>0</v>
      </c>
      <c r="H19" s="20">
        <f>'伤害统计(理想)'!H19</f>
        <v>0</v>
      </c>
      <c r="I19" s="20">
        <f>'伤害统计(理想)'!I19</f>
        <v>0.05</v>
      </c>
      <c r="J19" s="8">
        <f>J2</f>
        <v>0.474365</v>
      </c>
      <c r="K19" s="20">
        <f>'伤害统计(理想)'!K19</f>
        <v>0.1181</v>
      </c>
      <c r="L19" s="20">
        <f>'伤害统计(理想)'!L19</f>
        <v>0.177214436704937</v>
      </c>
      <c r="M19" s="20">
        <f>'伤害统计(理想)'!M19</f>
        <v>0.3473</v>
      </c>
      <c r="N19" s="20">
        <f>'伤害统计(理想)'!N19</f>
        <v>0.2</v>
      </c>
      <c r="O19" s="20">
        <f>'伤害统计(理想)'!O19</f>
        <v>0.4994</v>
      </c>
      <c r="P19" s="20">
        <f>'伤害统计(理想)'!P19</f>
        <v>0</v>
      </c>
      <c r="Q19" s="20">
        <f>'伤害统计(理想)'!Q19</f>
        <v>0.4994</v>
      </c>
      <c r="R19" s="20">
        <f>'伤害统计(理想)'!R19</f>
        <v>0.2441</v>
      </c>
      <c r="S19" s="20">
        <f>'伤害统计(理想)'!S19</f>
        <v>0.7435</v>
      </c>
      <c r="T19" s="20">
        <f>'伤害统计(理想)'!T19</f>
        <v>2.0895</v>
      </c>
      <c r="U19" s="20">
        <f>'伤害统计(理想)'!U19</f>
        <v>0</v>
      </c>
      <c r="V19" s="20">
        <f>'伤害统计(理想)'!V19</f>
        <v>2.0895</v>
      </c>
      <c r="W19" s="20">
        <f>'伤害统计(理想)'!W19</f>
        <v>0.2441</v>
      </c>
      <c r="X19" s="20">
        <f>'伤害统计(理想)'!X19</f>
        <v>2.3336</v>
      </c>
      <c r="Y19" s="20">
        <f>'伤害统计(理想)'!Y19</f>
        <v>0.2441</v>
      </c>
      <c r="Z19" s="20">
        <f>'伤害统计(理想)'!Z19</f>
        <v>2.3336</v>
      </c>
      <c r="AA19" s="20">
        <f>'伤害统计(理想)'!AA19</f>
        <v>0.1953</v>
      </c>
      <c r="AB19" s="20">
        <f>'伤害统计(理想)'!AB19</f>
        <v>2.5289</v>
      </c>
      <c r="AC19" s="20">
        <f t="shared" si="0"/>
        <v>327762</v>
      </c>
      <c r="AD19" s="20">
        <f t="shared" si="1"/>
        <v>327763</v>
      </c>
      <c r="AE19" s="20">
        <f t="shared" si="2"/>
        <v>354017</v>
      </c>
      <c r="AF19" s="20">
        <f t="shared" si="3"/>
        <v>684858</v>
      </c>
      <c r="AG19" s="20">
        <f t="shared" si="4"/>
        <v>764867</v>
      </c>
      <c r="AH19" s="20">
        <f t="shared" ref="AH19:AH32" si="12">INT(AE19*(T19+U19+0.4441))</f>
        <v>896937</v>
      </c>
      <c r="AI19" s="20">
        <f t="shared" si="5"/>
        <v>327763</v>
      </c>
      <c r="AJ19" s="20">
        <f t="shared" si="6"/>
        <v>764867</v>
      </c>
      <c r="AK19" s="20">
        <f t="shared" si="7"/>
        <v>354017</v>
      </c>
      <c r="AL19" s="20">
        <f t="shared" si="8"/>
        <v>826134</v>
      </c>
      <c r="AM19" s="20">
        <f t="shared" si="9"/>
        <v>828879</v>
      </c>
      <c r="AN19" s="20">
        <f t="shared" si="10"/>
        <v>895273</v>
      </c>
    </row>
    <row r="20" spans="1:40">
      <c r="A20" s="20" t="str">
        <f>'伤害统计(理想)'!A20</f>
        <v>破(3.5</v>
      </c>
      <c r="B20" s="20">
        <f>'伤害统计(理想)'!B20</f>
        <v>0</v>
      </c>
      <c r="C20" s="20">
        <f>'伤害统计(理想)'!C20</f>
        <v>0</v>
      </c>
      <c r="D20" s="20">
        <f>'伤害统计(理想)'!D20</f>
        <v>21804</v>
      </c>
      <c r="E20" s="20">
        <f>'伤害统计(理想)'!E20</f>
        <v>3.9576</v>
      </c>
      <c r="F20" s="20">
        <f>'伤害统计(理想)'!F20</f>
        <v>1</v>
      </c>
      <c r="G20" s="20">
        <f>'伤害统计(理想)'!G20</f>
        <v>0</v>
      </c>
      <c r="H20" s="20">
        <f>'伤害统计(理想)'!H20</f>
        <v>0</v>
      </c>
      <c r="I20" s="20">
        <f>'伤害统计(理想)'!I20</f>
        <v>0.05</v>
      </c>
      <c r="J20" s="8">
        <f>J2</f>
        <v>0.474365</v>
      </c>
      <c r="K20" s="20">
        <f>'伤害统计(理想)'!K20</f>
        <v>0.1181</v>
      </c>
      <c r="L20" s="20">
        <f>'伤害统计(理想)'!L20</f>
        <v>0.177214436704937</v>
      </c>
      <c r="M20" s="20">
        <f>'伤害统计(理想)'!M20</f>
        <v>0.3473</v>
      </c>
      <c r="N20" s="20">
        <f>'伤害统计(理想)'!N20</f>
        <v>0.2</v>
      </c>
      <c r="O20" s="20">
        <f>'伤害统计(理想)'!O20</f>
        <v>0.4994</v>
      </c>
      <c r="P20" s="20">
        <f>'伤害统计(理想)'!P20</f>
        <v>0</v>
      </c>
      <c r="Q20" s="20">
        <f>'伤害统计(理想)'!Q20</f>
        <v>0.4994</v>
      </c>
      <c r="R20" s="20">
        <f>'伤害统计(理想)'!R20</f>
        <v>0.2441</v>
      </c>
      <c r="S20" s="20">
        <f>'伤害统计(理想)'!S20</f>
        <v>0.7435</v>
      </c>
      <c r="T20" s="20">
        <f>'伤害统计(理想)'!T20</f>
        <v>2.0895</v>
      </c>
      <c r="U20" s="20">
        <f>'伤害统计(理想)'!U20</f>
        <v>0</v>
      </c>
      <c r="V20" s="20">
        <f>'伤害统计(理想)'!V20</f>
        <v>2.0895</v>
      </c>
      <c r="W20" s="20">
        <f>'伤害统计(理想)'!W20</f>
        <v>0.2441</v>
      </c>
      <c r="X20" s="20">
        <f>'伤害统计(理想)'!X20</f>
        <v>2.3336</v>
      </c>
      <c r="Y20" s="20">
        <f>'伤害统计(理想)'!Y20</f>
        <v>0.2441</v>
      </c>
      <c r="Z20" s="20">
        <f>'伤害统计(理想)'!Z20</f>
        <v>2.3336</v>
      </c>
      <c r="AA20" s="20">
        <f>'伤害统计(理想)'!AA20</f>
        <v>0.1953</v>
      </c>
      <c r="AB20" s="20">
        <f>'伤害统计(理想)'!AB20</f>
        <v>2.5289</v>
      </c>
      <c r="AC20" s="20">
        <f t="shared" si="0"/>
        <v>118467</v>
      </c>
      <c r="AD20" s="20">
        <f t="shared" si="1"/>
        <v>118468</v>
      </c>
      <c r="AE20" s="20">
        <f t="shared" si="2"/>
        <v>127958</v>
      </c>
      <c r="AF20" s="20">
        <f t="shared" si="3"/>
        <v>247536</v>
      </c>
      <c r="AG20" s="20">
        <f t="shared" si="4"/>
        <v>276456</v>
      </c>
      <c r="AH20" s="20">
        <f t="shared" si="12"/>
        <v>324194</v>
      </c>
      <c r="AI20" s="20">
        <f t="shared" si="5"/>
        <v>118468</v>
      </c>
      <c r="AJ20" s="20">
        <f t="shared" si="6"/>
        <v>276456</v>
      </c>
      <c r="AK20" s="20">
        <f t="shared" si="7"/>
        <v>127958</v>
      </c>
      <c r="AL20" s="20">
        <f t="shared" si="8"/>
        <v>298602</v>
      </c>
      <c r="AM20" s="20">
        <f t="shared" si="9"/>
        <v>299593</v>
      </c>
      <c r="AN20" s="20">
        <f t="shared" si="10"/>
        <v>323592</v>
      </c>
    </row>
    <row r="21" spans="1:40">
      <c r="A21" s="20" t="str">
        <f>'伤害统计(理想)'!A21</f>
        <v>破(万世二段</v>
      </c>
      <c r="B21" s="20">
        <f>'伤害统计(理想)'!B21</f>
        <v>0</v>
      </c>
      <c r="C21" s="20">
        <f>'伤害统计(理想)'!C21</f>
        <v>0</v>
      </c>
      <c r="D21" s="20">
        <f>'伤害统计(理想)'!D21</f>
        <v>21804</v>
      </c>
      <c r="E21" s="20">
        <f>'伤害统计(理想)'!E21</f>
        <v>7.9152</v>
      </c>
      <c r="F21" s="20">
        <f>'伤害统计(理想)'!F21</f>
        <v>1</v>
      </c>
      <c r="G21" s="20">
        <f>'伤害统计(理想)'!G21</f>
        <v>0</v>
      </c>
      <c r="H21" s="20">
        <f>'伤害统计(理想)'!H21</f>
        <v>0</v>
      </c>
      <c r="I21" s="20">
        <f>'伤害统计(理想)'!I21</f>
        <v>0.05</v>
      </c>
      <c r="J21" s="8">
        <f>J2</f>
        <v>0.474365</v>
      </c>
      <c r="K21" s="20">
        <f>'伤害统计(理想)'!K21</f>
        <v>0.1181</v>
      </c>
      <c r="L21" s="20">
        <f>'伤害统计(理想)'!L21</f>
        <v>0.177214436704937</v>
      </c>
      <c r="M21" s="20">
        <f>'伤害统计(理想)'!M21</f>
        <v>0.3473</v>
      </c>
      <c r="N21" s="20">
        <f>'伤害统计(理想)'!N21</f>
        <v>0.2</v>
      </c>
      <c r="O21" s="20">
        <f>'伤害统计(理想)'!O21</f>
        <v>0.4994</v>
      </c>
      <c r="P21" s="20">
        <f>'伤害统计(理想)'!P21</f>
        <v>0</v>
      </c>
      <c r="Q21" s="20">
        <f>'伤害统计(理想)'!Q21</f>
        <v>0.4994</v>
      </c>
      <c r="R21" s="20">
        <f>'伤害统计(理想)'!R21</f>
        <v>0.2441</v>
      </c>
      <c r="S21" s="20">
        <f>'伤害统计(理想)'!S21</f>
        <v>0.7435</v>
      </c>
      <c r="T21" s="20">
        <f>'伤害统计(理想)'!T21</f>
        <v>2.0895</v>
      </c>
      <c r="U21" s="20">
        <f>'伤害统计(理想)'!U21</f>
        <v>0</v>
      </c>
      <c r="V21" s="20">
        <f>'伤害统计(理想)'!V21</f>
        <v>2.0895</v>
      </c>
      <c r="W21" s="20">
        <f>'伤害统计(理想)'!W21</f>
        <v>0.2441</v>
      </c>
      <c r="X21" s="20">
        <f>'伤害统计(理想)'!X21</f>
        <v>2.3336</v>
      </c>
      <c r="Y21" s="20">
        <f>'伤害统计(理想)'!Y21</f>
        <v>0.2441</v>
      </c>
      <c r="Z21" s="20">
        <f>'伤害统计(理想)'!Z21</f>
        <v>2.3336</v>
      </c>
      <c r="AA21" s="20">
        <f>'伤害统计(理想)'!AA21</f>
        <v>0.1953</v>
      </c>
      <c r="AB21" s="20">
        <f>'伤害统计(理想)'!AB21</f>
        <v>2.5289</v>
      </c>
      <c r="AC21" s="20">
        <f t="shared" si="0"/>
        <v>236937</v>
      </c>
      <c r="AD21" s="20">
        <f t="shared" si="1"/>
        <v>236937</v>
      </c>
      <c r="AE21" s="20">
        <f t="shared" si="2"/>
        <v>255916</v>
      </c>
      <c r="AF21" s="20">
        <f t="shared" si="3"/>
        <v>495079</v>
      </c>
      <c r="AG21" s="20">
        <f t="shared" si="4"/>
        <v>552916</v>
      </c>
      <c r="AH21" s="20">
        <f t="shared" si="12"/>
        <v>648388</v>
      </c>
      <c r="AI21" s="20">
        <f t="shared" si="5"/>
        <v>236937</v>
      </c>
      <c r="AJ21" s="20">
        <f t="shared" si="6"/>
        <v>552916</v>
      </c>
      <c r="AK21" s="20">
        <f t="shared" si="7"/>
        <v>255916</v>
      </c>
      <c r="AL21" s="20">
        <f t="shared" si="8"/>
        <v>597205</v>
      </c>
      <c r="AM21" s="20">
        <f t="shared" si="9"/>
        <v>599189</v>
      </c>
      <c r="AN21" s="20">
        <f t="shared" si="10"/>
        <v>647185</v>
      </c>
    </row>
    <row r="22" spans="1:40">
      <c r="A22" s="20" t="str">
        <f>'伤害统计(理想)'!A22</f>
        <v>三才化生</v>
      </c>
      <c r="B22" s="20">
        <f>'伤害统计(理想)'!B22</f>
        <v>81</v>
      </c>
      <c r="C22" s="20">
        <f>'伤害统计(理想)'!C22</f>
        <v>34400</v>
      </c>
      <c r="D22" s="20">
        <f>'伤害统计(理想)'!D22</f>
        <v>45792</v>
      </c>
      <c r="E22" s="20">
        <f>'伤害统计(理想)'!E22</f>
        <v>0.08</v>
      </c>
      <c r="F22" s="20">
        <f>'伤害统计(理想)'!F22</f>
        <v>1</v>
      </c>
      <c r="G22" s="20">
        <f>'伤害统计(理想)'!G22</f>
        <v>0</v>
      </c>
      <c r="H22" s="20">
        <f>'伤害统计(理想)'!H22</f>
        <v>0</v>
      </c>
      <c r="I22" s="20">
        <f>'伤害统计(理想)'!I22</f>
        <v>0.05</v>
      </c>
      <c r="J22" s="8">
        <f>J2</f>
        <v>0.474365</v>
      </c>
      <c r="K22" s="20">
        <f>'伤害统计(理想)'!K22</f>
        <v>0.1181</v>
      </c>
      <c r="L22" s="20">
        <f>'伤害统计(理想)'!L22</f>
        <v>0.177214436704937</v>
      </c>
      <c r="M22" s="20">
        <f>'伤害统计(理想)'!M22</f>
        <v>0.3473</v>
      </c>
      <c r="N22" s="20">
        <f>'伤害统计(理想)'!N22</f>
        <v>0.2</v>
      </c>
      <c r="O22" s="20">
        <f>'伤害统计(理想)'!O22</f>
        <v>0.4994</v>
      </c>
      <c r="P22" s="20">
        <f>'伤害统计(理想)'!P22</f>
        <v>0</v>
      </c>
      <c r="Q22" s="20">
        <f>'伤害统计(理想)'!Q22</f>
        <v>0.4994</v>
      </c>
      <c r="R22" s="20">
        <f>'伤害统计(理想)'!R22</f>
        <v>0.2441</v>
      </c>
      <c r="S22" s="20">
        <f>'伤害统计(理想)'!S22</f>
        <v>0.7435</v>
      </c>
      <c r="T22" s="20">
        <f>'伤害统计(理想)'!T22</f>
        <v>2.0895</v>
      </c>
      <c r="U22" s="20">
        <f>'伤害统计(理想)'!U22</f>
        <v>0</v>
      </c>
      <c r="V22" s="20">
        <f>'伤害统计(理想)'!V22</f>
        <v>2.0895</v>
      </c>
      <c r="W22" s="20">
        <f>'伤害统计(理想)'!W22</f>
        <v>0.2441</v>
      </c>
      <c r="X22" s="20">
        <f>'伤害统计(理想)'!X22</f>
        <v>2.3336</v>
      </c>
      <c r="Y22" s="20">
        <f>'伤害统计(理想)'!Y22</f>
        <v>0.2441</v>
      </c>
      <c r="Z22" s="20">
        <f>'伤害统计(理想)'!Z22</f>
        <v>2.3336</v>
      </c>
      <c r="AA22" s="20">
        <f>'伤害统计(理想)'!AA22</f>
        <v>0.1953</v>
      </c>
      <c r="AB22" s="20">
        <f>'伤害统计(理想)'!AB22</f>
        <v>2.5289</v>
      </c>
      <c r="AC22" s="20">
        <f t="shared" si="0"/>
        <v>5140</v>
      </c>
      <c r="AD22" s="20">
        <f t="shared" si="1"/>
        <v>7029</v>
      </c>
      <c r="AE22" s="20">
        <f t="shared" si="2"/>
        <v>7592</v>
      </c>
      <c r="AF22" s="20">
        <f t="shared" si="3"/>
        <v>10740</v>
      </c>
      <c r="AG22" s="20">
        <f t="shared" si="4"/>
        <v>16402</v>
      </c>
      <c r="AH22" s="20">
        <f t="shared" si="12"/>
        <v>19235</v>
      </c>
      <c r="AI22" s="20">
        <f t="shared" si="5"/>
        <v>6085</v>
      </c>
      <c r="AJ22" s="20">
        <f t="shared" si="6"/>
        <v>14199</v>
      </c>
      <c r="AK22" s="20">
        <f t="shared" si="7"/>
        <v>6572</v>
      </c>
      <c r="AL22" s="20">
        <f t="shared" si="8"/>
        <v>15336</v>
      </c>
      <c r="AM22" s="20">
        <f t="shared" si="9"/>
        <v>17775</v>
      </c>
      <c r="AN22" s="20">
        <f t="shared" si="10"/>
        <v>19199</v>
      </c>
    </row>
    <row r="23" spans="1:40">
      <c r="A23" s="20" t="str">
        <f>'伤害统计(理想)'!A23</f>
        <v>厚亡</v>
      </c>
      <c r="B23" s="20">
        <f>'伤害统计(理想)'!B23</f>
        <v>35</v>
      </c>
      <c r="C23" s="20">
        <f>'伤害统计(理想)'!C23</f>
        <v>34400</v>
      </c>
      <c r="D23" s="20">
        <f>'伤害统计(理想)'!D23</f>
        <v>45792</v>
      </c>
      <c r="E23" s="20">
        <f>'伤害统计(理想)'!E23</f>
        <v>1.625</v>
      </c>
      <c r="F23" s="20">
        <f>'伤害统计(理想)'!F23</f>
        <v>1</v>
      </c>
      <c r="G23" s="20">
        <f>'伤害统计(理想)'!G23</f>
        <v>0</v>
      </c>
      <c r="H23" s="20">
        <f>'伤害统计(理想)'!H23</f>
        <v>0</v>
      </c>
      <c r="I23" s="20">
        <f>'伤害统计(理想)'!I23</f>
        <v>0.05</v>
      </c>
      <c r="J23" s="8">
        <f>J2</f>
        <v>0.474365</v>
      </c>
      <c r="K23" s="20">
        <f>'伤害统计(理想)'!K23</f>
        <v>0.1181</v>
      </c>
      <c r="L23" s="20">
        <f>'伤害统计(理想)'!L23</f>
        <v>0.177214436704937</v>
      </c>
      <c r="M23" s="20">
        <f>'伤害统计(理想)'!M23</f>
        <v>0.3473</v>
      </c>
      <c r="N23" s="20">
        <f>'伤害统计(理想)'!N23</f>
        <v>0.2</v>
      </c>
      <c r="O23" s="20">
        <f>'伤害统计(理想)'!O23</f>
        <v>0.4994</v>
      </c>
      <c r="P23" s="20">
        <f>'伤害统计(理想)'!P23</f>
        <v>0</v>
      </c>
      <c r="Q23" s="20">
        <f>'伤害统计(理想)'!Q23</f>
        <v>0.4994</v>
      </c>
      <c r="R23" s="20">
        <f>'伤害统计(理想)'!R23</f>
        <v>0.2441</v>
      </c>
      <c r="S23" s="20">
        <f>'伤害统计(理想)'!S23</f>
        <v>0.7435</v>
      </c>
      <c r="T23" s="20">
        <f>'伤害统计(理想)'!T23</f>
        <v>2.0895</v>
      </c>
      <c r="U23" s="20">
        <f>'伤害统计(理想)'!U23</f>
        <v>0</v>
      </c>
      <c r="V23" s="20">
        <f>'伤害统计(理想)'!V23</f>
        <v>2.0895</v>
      </c>
      <c r="W23" s="20">
        <f>'伤害统计(理想)'!W23</f>
        <v>0.2441</v>
      </c>
      <c r="X23" s="20">
        <f>'伤害统计(理想)'!X23</f>
        <v>2.3336</v>
      </c>
      <c r="Y23" s="20">
        <f>'伤害统计(理想)'!Y23</f>
        <v>0.2441</v>
      </c>
      <c r="Z23" s="20">
        <f>'伤害统计(理想)'!Z23</f>
        <v>2.3336</v>
      </c>
      <c r="AA23" s="20">
        <f>'伤害统计(理想)'!AA23</f>
        <v>0.1953</v>
      </c>
      <c r="AB23" s="20">
        <f>'伤害统计(理想)'!AB23</f>
        <v>2.5289</v>
      </c>
      <c r="AC23" s="20">
        <f t="shared" si="0"/>
        <v>102207</v>
      </c>
      <c r="AD23" s="20">
        <f t="shared" si="1"/>
        <v>140579</v>
      </c>
      <c r="AE23" s="20">
        <f t="shared" si="2"/>
        <v>151840</v>
      </c>
      <c r="AF23" s="20">
        <f t="shared" si="3"/>
        <v>213561</v>
      </c>
      <c r="AG23" s="20">
        <f t="shared" si="4"/>
        <v>328055</v>
      </c>
      <c r="AH23" s="20">
        <f t="shared" si="12"/>
        <v>384701</v>
      </c>
      <c r="AI23" s="20">
        <f t="shared" si="5"/>
        <v>121393</v>
      </c>
      <c r="AJ23" s="20">
        <f t="shared" si="6"/>
        <v>283282</v>
      </c>
      <c r="AK23" s="20">
        <f t="shared" si="7"/>
        <v>131117</v>
      </c>
      <c r="AL23" s="20">
        <f t="shared" si="8"/>
        <v>305974</v>
      </c>
      <c r="AM23" s="20">
        <f t="shared" si="9"/>
        <v>355510</v>
      </c>
      <c r="AN23" s="20">
        <f t="shared" si="10"/>
        <v>383988</v>
      </c>
    </row>
    <row r="24" spans="1:40">
      <c r="A24" s="20" t="str">
        <f>'伤害统计(理想)'!A24</f>
        <v>刃凌</v>
      </c>
      <c r="B24" s="20">
        <f>'伤害统计(理想)'!B24</f>
        <v>48</v>
      </c>
      <c r="C24" s="20">
        <f>'伤害统计(理想)'!C24</f>
        <v>34400</v>
      </c>
      <c r="D24" s="20">
        <f>'伤害统计(理想)'!D24</f>
        <v>45792</v>
      </c>
      <c r="E24" s="20">
        <f>'伤害统计(理想)'!E24</f>
        <v>0.260417</v>
      </c>
      <c r="F24" s="20">
        <f>'伤害统计(理想)'!F24</f>
        <v>1</v>
      </c>
      <c r="G24" s="20">
        <f>'伤害统计(理想)'!G24</f>
        <v>0</v>
      </c>
      <c r="H24" s="20">
        <f>'伤害统计(理想)'!H24</f>
        <v>0</v>
      </c>
      <c r="I24" s="20">
        <f>'伤害统计(理想)'!I24</f>
        <v>0.05</v>
      </c>
      <c r="J24" s="8">
        <f>J2</f>
        <v>0.474365</v>
      </c>
      <c r="K24" s="20">
        <f>'伤害统计(理想)'!K24</f>
        <v>0.1181</v>
      </c>
      <c r="L24" s="20">
        <f>'伤害统计(理想)'!L24</f>
        <v>0.177214436704937</v>
      </c>
      <c r="M24" s="20">
        <f>'伤害统计(理想)'!M24</f>
        <v>0.3473</v>
      </c>
      <c r="N24" s="20">
        <f>'伤害统计(理想)'!N24</f>
        <v>0.2</v>
      </c>
      <c r="O24" s="20">
        <f>'伤害统计(理想)'!O24</f>
        <v>0.4994</v>
      </c>
      <c r="P24" s="20">
        <f>'伤害统计(理想)'!P24</f>
        <v>0</v>
      </c>
      <c r="Q24" s="20">
        <f>'伤害统计(理想)'!Q24</f>
        <v>0.4994</v>
      </c>
      <c r="R24" s="20">
        <f>'伤害统计(理想)'!R24</f>
        <v>0.2441</v>
      </c>
      <c r="S24" s="20">
        <f>'伤害统计(理想)'!S24</f>
        <v>0.7435</v>
      </c>
      <c r="T24" s="20">
        <f>'伤害统计(理想)'!T24</f>
        <v>2.0895</v>
      </c>
      <c r="U24" s="20">
        <f>'伤害统计(理想)'!U24</f>
        <v>0</v>
      </c>
      <c r="V24" s="20">
        <f>'伤害统计(理想)'!V24</f>
        <v>2.0895</v>
      </c>
      <c r="W24" s="20">
        <f>'伤害统计(理想)'!W24</f>
        <v>0.2441</v>
      </c>
      <c r="X24" s="20">
        <f>'伤害统计(理想)'!X24</f>
        <v>2.3336</v>
      </c>
      <c r="Y24" s="20">
        <f>'伤害统计(理想)'!Y24</f>
        <v>0.2441</v>
      </c>
      <c r="Z24" s="20">
        <f>'伤害统计(理想)'!Z24</f>
        <v>2.3336</v>
      </c>
      <c r="AA24" s="20">
        <f>'伤害统计(理想)'!AA24</f>
        <v>0.1953</v>
      </c>
      <c r="AB24" s="20">
        <f>'伤害统计(理想)'!AB24</f>
        <v>2.5289</v>
      </c>
      <c r="AC24" s="20">
        <f t="shared" si="0"/>
        <v>16437</v>
      </c>
      <c r="AD24" s="20">
        <f t="shared" si="1"/>
        <v>22587</v>
      </c>
      <c r="AE24" s="20">
        <f t="shared" si="2"/>
        <v>24396</v>
      </c>
      <c r="AF24" s="20">
        <f t="shared" si="3"/>
        <v>34345</v>
      </c>
      <c r="AG24" s="20">
        <f t="shared" si="4"/>
        <v>52709</v>
      </c>
      <c r="AH24" s="20">
        <f t="shared" si="12"/>
        <v>61809</v>
      </c>
      <c r="AI24" s="20">
        <f t="shared" si="5"/>
        <v>19512</v>
      </c>
      <c r="AJ24" s="20">
        <f t="shared" si="6"/>
        <v>45533</v>
      </c>
      <c r="AK24" s="20">
        <f t="shared" si="7"/>
        <v>21075</v>
      </c>
      <c r="AL24" s="20">
        <f t="shared" si="8"/>
        <v>49180</v>
      </c>
      <c r="AM24" s="20">
        <f t="shared" si="9"/>
        <v>57120</v>
      </c>
      <c r="AN24" s="20">
        <f t="shared" si="10"/>
        <v>61695</v>
      </c>
    </row>
    <row r="25" spans="1:40">
      <c r="A25" s="20" t="str">
        <f>'伤害统计(理想)'!A25</f>
        <v>昆吾·弦刃</v>
      </c>
      <c r="B25" s="20">
        <f>'伤害统计(理想)'!B25</f>
        <v>48</v>
      </c>
      <c r="C25" s="20">
        <f>'伤害统计(理想)'!C25</f>
        <v>34400</v>
      </c>
      <c r="D25" s="20">
        <f>'伤害统计(理想)'!D25</f>
        <v>45792</v>
      </c>
      <c r="E25" s="20">
        <f>'伤害统计(理想)'!E25</f>
        <v>0.46875</v>
      </c>
      <c r="F25" s="20">
        <f>'伤害统计(理想)'!F25</f>
        <v>1</v>
      </c>
      <c r="G25" s="20">
        <f>'伤害统计(理想)'!G25</f>
        <v>0</v>
      </c>
      <c r="H25" s="20">
        <f>'伤害统计(理想)'!H25</f>
        <v>0</v>
      </c>
      <c r="I25" s="20">
        <f>'伤害统计(理想)'!I25</f>
        <v>0.05</v>
      </c>
      <c r="J25" s="8">
        <f>J2</f>
        <v>0.474365</v>
      </c>
      <c r="K25" s="20">
        <f>'伤害统计(理想)'!K25</f>
        <v>0.1181</v>
      </c>
      <c r="L25" s="20">
        <f>'伤害统计(理想)'!L25</f>
        <v>0.177214436704937</v>
      </c>
      <c r="M25" s="20">
        <f>'伤害统计(理想)'!M25</f>
        <v>0.3473</v>
      </c>
      <c r="N25" s="20">
        <f>'伤害统计(理想)'!N25</f>
        <v>0.2</v>
      </c>
      <c r="O25" s="20">
        <f>'伤害统计(理想)'!O25</f>
        <v>0.4994</v>
      </c>
      <c r="P25" s="20">
        <f>'伤害统计(理想)'!P25</f>
        <v>0</v>
      </c>
      <c r="Q25" s="20">
        <f>'伤害统计(理想)'!Q25</f>
        <v>0.4994</v>
      </c>
      <c r="R25" s="20">
        <f>'伤害统计(理想)'!R25</f>
        <v>0.2441</v>
      </c>
      <c r="S25" s="20">
        <f>'伤害统计(理想)'!S25</f>
        <v>0.7435</v>
      </c>
      <c r="T25" s="20">
        <f>'伤害统计(理想)'!T25</f>
        <v>2.0895</v>
      </c>
      <c r="U25" s="20">
        <f>'伤害统计(理想)'!U25</f>
        <v>0</v>
      </c>
      <c r="V25" s="20">
        <f>'伤害统计(理想)'!V25</f>
        <v>2.0895</v>
      </c>
      <c r="W25" s="20">
        <f>'伤害统计(理想)'!W25</f>
        <v>0.2441</v>
      </c>
      <c r="X25" s="20">
        <f>'伤害统计(理想)'!X25</f>
        <v>2.3336</v>
      </c>
      <c r="Y25" s="20">
        <f>'伤害统计(理想)'!Y25</f>
        <v>0.2441</v>
      </c>
      <c r="Z25" s="20">
        <f>'伤害统计(理想)'!Z25</f>
        <v>2.3336</v>
      </c>
      <c r="AA25" s="20">
        <f>'伤害统计(理想)'!AA25</f>
        <v>0.1953</v>
      </c>
      <c r="AB25" s="20">
        <f>'伤害统计(理想)'!AB25</f>
        <v>2.5289</v>
      </c>
      <c r="AC25" s="20">
        <f t="shared" si="0"/>
        <v>29534</v>
      </c>
      <c r="AD25" s="20">
        <f t="shared" si="1"/>
        <v>40603</v>
      </c>
      <c r="AE25" s="20">
        <f t="shared" si="2"/>
        <v>43856</v>
      </c>
      <c r="AF25" s="20">
        <f t="shared" si="3"/>
        <v>61711</v>
      </c>
      <c r="AG25" s="20">
        <f t="shared" si="4"/>
        <v>94751</v>
      </c>
      <c r="AH25" s="20">
        <f t="shared" si="12"/>
        <v>111113</v>
      </c>
      <c r="AI25" s="20">
        <f t="shared" si="5"/>
        <v>35069</v>
      </c>
      <c r="AJ25" s="20">
        <f t="shared" si="6"/>
        <v>81837</v>
      </c>
      <c r="AK25" s="20">
        <f t="shared" si="7"/>
        <v>37878</v>
      </c>
      <c r="AL25" s="20">
        <f t="shared" si="8"/>
        <v>88392</v>
      </c>
      <c r="AM25" s="20">
        <f t="shared" si="9"/>
        <v>102680</v>
      </c>
      <c r="AN25" s="20">
        <f t="shared" si="10"/>
        <v>110907</v>
      </c>
    </row>
    <row r="26" spans="1:40">
      <c r="A26" s="20" t="str">
        <f>'伤害统计(理想)'!A26</f>
        <v>腾空·三才</v>
      </c>
      <c r="B26" s="20">
        <f>'伤害统计(理想)'!B26</f>
        <v>550865</v>
      </c>
      <c r="C26" s="20">
        <f>'伤害统计(理想)'!C26</f>
        <v>34400</v>
      </c>
      <c r="D26" s="20">
        <f>'伤害统计(理想)'!D26</f>
        <v>0</v>
      </c>
      <c r="E26" s="20">
        <f>'伤害统计(理想)'!E26</f>
        <v>1</v>
      </c>
      <c r="F26" s="20">
        <f>'伤害统计(理想)'!F26</f>
        <v>1</v>
      </c>
      <c r="G26" s="20">
        <f>'伤害统计(理想)'!G26</f>
        <v>0</v>
      </c>
      <c r="H26" s="20">
        <f>'伤害统计(理想)'!H26</f>
        <v>0</v>
      </c>
      <c r="I26" s="20">
        <f>'伤害统计(理想)'!I26</f>
        <v>0.05</v>
      </c>
      <c r="J26" s="8">
        <f>J2</f>
        <v>0.474365</v>
      </c>
      <c r="K26" s="20">
        <f>'伤害统计(理想)'!K26</f>
        <v>0.1181</v>
      </c>
      <c r="L26" s="20">
        <f>'伤害统计(理想)'!L26</f>
        <v>0.177214436704937</v>
      </c>
      <c r="M26" s="20">
        <f>'伤害统计(理想)'!M26</f>
        <v>0.3473</v>
      </c>
      <c r="N26" s="20">
        <f>'伤害统计(理想)'!N26</f>
        <v>0.2</v>
      </c>
      <c r="O26" s="20">
        <f>'伤害统计(理想)'!O26</f>
        <v>0.4994</v>
      </c>
      <c r="P26" s="20">
        <f>'伤害统计(理想)'!P26</f>
        <v>0</v>
      </c>
      <c r="Q26" s="20">
        <f>'伤害统计(理想)'!Q26</f>
        <v>0.4994</v>
      </c>
      <c r="R26" s="20">
        <f>'伤害统计(理想)'!R26</f>
        <v>0.2441</v>
      </c>
      <c r="S26" s="20">
        <f>'伤害统计(理想)'!S26</f>
        <v>0.7435</v>
      </c>
      <c r="T26" s="20">
        <f>'伤害统计(理想)'!T26</f>
        <v>2.0895</v>
      </c>
      <c r="U26" s="20">
        <f>'伤害统计(理想)'!U26</f>
        <v>0</v>
      </c>
      <c r="V26" s="20">
        <f>'伤害统计(理想)'!V26</f>
        <v>2.0895</v>
      </c>
      <c r="W26" s="20">
        <f>'伤害统计(理想)'!W26</f>
        <v>0.2441</v>
      </c>
      <c r="X26" s="20">
        <f>'伤害统计(理想)'!X26</f>
        <v>2.3336</v>
      </c>
      <c r="Y26" s="20">
        <f>'伤害统计(理想)'!Y26</f>
        <v>0.2441</v>
      </c>
      <c r="Z26" s="20">
        <f>'伤害统计(理想)'!Z26</f>
        <v>2.3336</v>
      </c>
      <c r="AA26" s="20">
        <f>'伤害统计(理想)'!AA26</f>
        <v>0.1953</v>
      </c>
      <c r="AB26" s="20">
        <f>'伤害统计(理想)'!AB26</f>
        <v>2.5289</v>
      </c>
      <c r="AC26" s="20">
        <f t="shared" si="0"/>
        <v>756276</v>
      </c>
      <c r="AD26" s="20">
        <f t="shared" si="1"/>
        <v>779889</v>
      </c>
      <c r="AE26" s="20">
        <f t="shared" si="2"/>
        <v>842360</v>
      </c>
      <c r="AF26" s="20">
        <f t="shared" si="3"/>
        <v>1580238</v>
      </c>
      <c r="AG26" s="20">
        <f t="shared" si="4"/>
        <v>1819948</v>
      </c>
      <c r="AH26" s="20">
        <f t="shared" si="12"/>
        <v>2134203</v>
      </c>
      <c r="AI26" s="20">
        <f t="shared" si="5"/>
        <v>768083</v>
      </c>
      <c r="AJ26" s="20">
        <f t="shared" si="6"/>
        <v>1792398</v>
      </c>
      <c r="AK26" s="20">
        <f t="shared" si="7"/>
        <v>829608</v>
      </c>
      <c r="AL26" s="20">
        <f t="shared" si="8"/>
        <v>1935973</v>
      </c>
      <c r="AM26" s="20">
        <f t="shared" si="9"/>
        <v>1972261</v>
      </c>
      <c r="AN26" s="20">
        <f t="shared" si="10"/>
        <v>2130244</v>
      </c>
    </row>
    <row r="27" spans="1:40">
      <c r="A27" s="20" t="str">
        <f>'伤害统计(理想)'!A27</f>
        <v>腾空·凭虚</v>
      </c>
      <c r="B27" s="20">
        <f>'伤害统计(理想)'!B27</f>
        <v>568199</v>
      </c>
      <c r="C27" s="20">
        <f>'伤害统计(理想)'!C27</f>
        <v>34400</v>
      </c>
      <c r="D27" s="20">
        <f>'伤害统计(理想)'!D27</f>
        <v>0</v>
      </c>
      <c r="E27" s="20">
        <f>'伤害统计(理想)'!E27</f>
        <v>1</v>
      </c>
      <c r="F27" s="20">
        <f>'伤害统计(理想)'!F27</f>
        <v>1</v>
      </c>
      <c r="G27" s="20">
        <f>'伤害统计(理想)'!G27</f>
        <v>0</v>
      </c>
      <c r="H27" s="20">
        <f>'伤害统计(理想)'!H27</f>
        <v>0</v>
      </c>
      <c r="I27" s="20">
        <f>'伤害统计(理想)'!I27</f>
        <v>0.05</v>
      </c>
      <c r="J27" s="8">
        <f>J2</f>
        <v>0.474365</v>
      </c>
      <c r="K27" s="20">
        <f>'伤害统计(理想)'!K27</f>
        <v>0.1181</v>
      </c>
      <c r="L27" s="20">
        <f>'伤害统计(理想)'!L27</f>
        <v>0.177214436704937</v>
      </c>
      <c r="M27" s="20">
        <f>'伤害统计(理想)'!M27</f>
        <v>0.3473</v>
      </c>
      <c r="N27" s="20">
        <f>'伤害统计(理想)'!N27</f>
        <v>0.2</v>
      </c>
      <c r="O27" s="20">
        <f>'伤害统计(理想)'!O27</f>
        <v>1</v>
      </c>
      <c r="P27" s="20">
        <f>'伤害统计(理想)'!P27</f>
        <v>0</v>
      </c>
      <c r="Q27" s="20">
        <f>'伤害统计(理想)'!Q27</f>
        <v>1</v>
      </c>
      <c r="R27" s="20">
        <f>'伤害统计(理想)'!R27</f>
        <v>0.2441</v>
      </c>
      <c r="S27" s="20">
        <f>'伤害统计(理想)'!S27</f>
        <v>1</v>
      </c>
      <c r="T27" s="20">
        <f>'伤害统计(理想)'!T27</f>
        <v>2.0895</v>
      </c>
      <c r="U27" s="20">
        <f>'伤害统计(理想)'!U27</f>
        <v>0</v>
      </c>
      <c r="V27" s="20">
        <f>'伤害统计(理想)'!V27</f>
        <v>2.0895</v>
      </c>
      <c r="W27" s="20">
        <f>'伤害统计(理想)'!W27</f>
        <v>0.2441</v>
      </c>
      <c r="X27" s="20">
        <f>'伤害统计(理想)'!X27</f>
        <v>2.3336</v>
      </c>
      <c r="Y27" s="20">
        <f>'伤害统计(理想)'!Y27</f>
        <v>0.2441</v>
      </c>
      <c r="Z27" s="20">
        <f>'伤害统计(理想)'!Z27</f>
        <v>2.3336</v>
      </c>
      <c r="AA27" s="20">
        <f>'伤害统计(理想)'!AA27</f>
        <v>0.1953</v>
      </c>
      <c r="AB27" s="20">
        <f>'伤害统计(理想)'!AB27</f>
        <v>2.5289</v>
      </c>
      <c r="AC27" s="20">
        <f t="shared" si="0"/>
        <v>780073</v>
      </c>
      <c r="AD27" s="20">
        <f t="shared" si="1"/>
        <v>803687</v>
      </c>
      <c r="AE27" s="20">
        <f t="shared" si="2"/>
        <v>868064</v>
      </c>
      <c r="AF27" s="20">
        <f t="shared" si="3"/>
        <v>1629962</v>
      </c>
      <c r="AG27" s="20">
        <f t="shared" si="4"/>
        <v>1875483</v>
      </c>
      <c r="AH27" s="20">
        <f t="shared" si="12"/>
        <v>2199326</v>
      </c>
      <c r="AI27" s="20">
        <f t="shared" si="5"/>
        <v>791880</v>
      </c>
      <c r="AJ27" s="20">
        <f t="shared" si="6"/>
        <v>1847931</v>
      </c>
      <c r="AK27" s="20">
        <f t="shared" si="7"/>
        <v>855312</v>
      </c>
      <c r="AL27" s="20">
        <f t="shared" si="8"/>
        <v>1995956</v>
      </c>
      <c r="AM27" s="20">
        <f t="shared" si="9"/>
        <v>2032444</v>
      </c>
      <c r="AN27" s="20">
        <f t="shared" si="10"/>
        <v>2195247</v>
      </c>
    </row>
    <row r="28" spans="1:40">
      <c r="A28" s="20" t="str">
        <f>'伤害统计(理想)'!A28</f>
        <v>腾空·凭虚·定</v>
      </c>
      <c r="B28" s="20">
        <f>'伤害统计(理想)'!B28</f>
        <v>141299</v>
      </c>
      <c r="C28" s="20">
        <f>'伤害统计(理想)'!C28</f>
        <v>34400</v>
      </c>
      <c r="D28" s="20">
        <f>'伤害统计(理想)'!D28</f>
        <v>0</v>
      </c>
      <c r="E28" s="20">
        <f>'伤害统计(理想)'!E28</f>
        <v>1</v>
      </c>
      <c r="F28" s="20">
        <f>'伤害统计(理想)'!F28</f>
        <v>1</v>
      </c>
      <c r="G28" s="20">
        <f>'伤害统计(理想)'!G28</f>
        <v>0</v>
      </c>
      <c r="H28" s="20">
        <f>'伤害统计(理想)'!H28</f>
        <v>0</v>
      </c>
      <c r="I28" s="20">
        <f>'伤害统计(理想)'!I28</f>
        <v>0.05</v>
      </c>
      <c r="J28" s="8">
        <f>J2</f>
        <v>0.474365</v>
      </c>
      <c r="K28" s="20">
        <f>'伤害统计(理想)'!K28</f>
        <v>0.1181</v>
      </c>
      <c r="L28" s="20">
        <f>'伤害统计(理想)'!L28</f>
        <v>0.177214436704937</v>
      </c>
      <c r="M28" s="20">
        <f>'伤害统计(理想)'!M28</f>
        <v>0.3473</v>
      </c>
      <c r="N28" s="20">
        <f>'伤害统计(理想)'!N28</f>
        <v>0.2</v>
      </c>
      <c r="O28" s="20">
        <f>'伤害统计(理想)'!O28</f>
        <v>0.4994</v>
      </c>
      <c r="P28" s="20">
        <f>'伤害统计(理想)'!P28</f>
        <v>0</v>
      </c>
      <c r="Q28" s="20">
        <f>'伤害统计(理想)'!Q28</f>
        <v>0.4994</v>
      </c>
      <c r="R28" s="20">
        <f>'伤害统计(理想)'!R28</f>
        <v>0.2441</v>
      </c>
      <c r="S28" s="20">
        <f>'伤害统计(理想)'!S28</f>
        <v>0.7435</v>
      </c>
      <c r="T28" s="20">
        <f>'伤害统计(理想)'!T28</f>
        <v>2.0895</v>
      </c>
      <c r="U28" s="20">
        <f>'伤害统计(理想)'!U28</f>
        <v>0</v>
      </c>
      <c r="V28" s="20">
        <f>'伤害统计(理想)'!V28</f>
        <v>2.0895</v>
      </c>
      <c r="W28" s="20">
        <f>'伤害统计(理想)'!W28</f>
        <v>0.2441</v>
      </c>
      <c r="X28" s="20">
        <f>'伤害统计(理想)'!X28</f>
        <v>2.3336</v>
      </c>
      <c r="Y28" s="20">
        <f>'伤害统计(理想)'!Y28</f>
        <v>0.2441</v>
      </c>
      <c r="Z28" s="20">
        <f>'伤害统计(理想)'!Z28</f>
        <v>2.3336</v>
      </c>
      <c r="AA28" s="20">
        <f>'伤害统计(理想)'!AA28</f>
        <v>0.1953</v>
      </c>
      <c r="AB28" s="20">
        <f>'伤害统计(理想)'!AB28</f>
        <v>2.5289</v>
      </c>
      <c r="AC28" s="20">
        <f t="shared" si="0"/>
        <v>193987</v>
      </c>
      <c r="AD28" s="20">
        <f t="shared" si="1"/>
        <v>217601</v>
      </c>
      <c r="AE28" s="20">
        <f t="shared" si="2"/>
        <v>235031</v>
      </c>
      <c r="AF28" s="20">
        <f t="shared" si="3"/>
        <v>405335</v>
      </c>
      <c r="AG28" s="20">
        <f t="shared" si="4"/>
        <v>507793</v>
      </c>
      <c r="AH28" s="20">
        <f t="shared" si="12"/>
        <v>595474</v>
      </c>
      <c r="AI28" s="20">
        <f t="shared" si="5"/>
        <v>205794</v>
      </c>
      <c r="AJ28" s="20">
        <f t="shared" si="6"/>
        <v>480240</v>
      </c>
      <c r="AK28" s="20">
        <f t="shared" si="7"/>
        <v>222279</v>
      </c>
      <c r="AL28" s="20">
        <f t="shared" si="8"/>
        <v>518710</v>
      </c>
      <c r="AM28" s="20">
        <f t="shared" si="9"/>
        <v>550291</v>
      </c>
      <c r="AN28" s="20">
        <f t="shared" si="10"/>
        <v>594369</v>
      </c>
    </row>
    <row r="29" spans="1:40">
      <c r="A29" s="20" t="str">
        <f>'伤害统计(理想)'!A29</f>
        <v>气竭(DOT)</v>
      </c>
      <c r="B29" s="20">
        <f>'伤害统计(理想)'!B29</f>
        <v>50</v>
      </c>
      <c r="C29" s="20">
        <f>'伤害统计(理想)'!C29</f>
        <v>34400</v>
      </c>
      <c r="D29" s="20">
        <f>'伤害统计(理想)'!D29</f>
        <v>45792</v>
      </c>
      <c r="E29" s="20">
        <f>'伤害统计(理想)'!E29</f>
        <v>0.5078125</v>
      </c>
      <c r="F29" s="20">
        <f>'伤害统计(理想)'!F29</f>
        <v>1</v>
      </c>
      <c r="G29" s="20">
        <f>'伤害统计(理想)'!G29</f>
        <v>0</v>
      </c>
      <c r="H29" s="20">
        <f>'伤害统计(理想)'!H29</f>
        <v>0</v>
      </c>
      <c r="I29" s="20">
        <f>'伤害统计(理想)'!I29</f>
        <v>0.05</v>
      </c>
      <c r="J29" s="8">
        <f>J2</f>
        <v>0.474365</v>
      </c>
      <c r="K29" s="20">
        <f>'伤害统计(理想)'!K29</f>
        <v>0.1181</v>
      </c>
      <c r="L29" s="20">
        <f>'伤害统计(理想)'!L29</f>
        <v>0.177214436704937</v>
      </c>
      <c r="M29" s="20">
        <f>'伤害统计(理想)'!M29</f>
        <v>0.3473</v>
      </c>
      <c r="N29" s="20">
        <f>'伤害统计(理想)'!N29</f>
        <v>0.2</v>
      </c>
      <c r="O29" s="20">
        <f>'伤害统计(理想)'!O29</f>
        <v>0.4994</v>
      </c>
      <c r="P29" s="20">
        <f>'伤害统计(理想)'!P29</f>
        <v>0</v>
      </c>
      <c r="Q29" s="20">
        <f>'伤害统计(理想)'!Q29</f>
        <v>0.4994</v>
      </c>
      <c r="R29" s="20">
        <f>'伤害统计(理想)'!R29</f>
        <v>0.2441</v>
      </c>
      <c r="S29" s="20">
        <f>'伤害统计(理想)'!S29</f>
        <v>0.7435</v>
      </c>
      <c r="T29" s="20">
        <f>'伤害统计(理想)'!T29</f>
        <v>2.0895</v>
      </c>
      <c r="U29" s="20">
        <f>'伤害统计(理想)'!U29</f>
        <v>0</v>
      </c>
      <c r="V29" s="20">
        <f>'伤害统计(理想)'!V29</f>
        <v>2.0895</v>
      </c>
      <c r="W29" s="20">
        <f>'伤害统计(理想)'!W29</f>
        <v>0.2441</v>
      </c>
      <c r="X29" s="20">
        <f>'伤害统计(理想)'!X29</f>
        <v>2.3336</v>
      </c>
      <c r="Y29" s="20">
        <f>'伤害统计(理想)'!Y29</f>
        <v>0.2441</v>
      </c>
      <c r="Z29" s="20">
        <f>'伤害统计(理想)'!Z29</f>
        <v>2.3336</v>
      </c>
      <c r="AA29" s="20">
        <f>'伤害统计(理想)'!AA29</f>
        <v>0.1953</v>
      </c>
      <c r="AB29" s="20">
        <f>'伤害统计(理想)'!AB29</f>
        <v>2.5289</v>
      </c>
      <c r="AC29" s="20">
        <f t="shared" si="0"/>
        <v>31992</v>
      </c>
      <c r="AD29" s="20">
        <f t="shared" si="1"/>
        <v>43984</v>
      </c>
      <c r="AE29" s="20">
        <f t="shared" si="2"/>
        <v>47508</v>
      </c>
      <c r="AF29" s="20">
        <f t="shared" si="3"/>
        <v>66847</v>
      </c>
      <c r="AG29" s="20">
        <f t="shared" si="4"/>
        <v>102641</v>
      </c>
      <c r="AH29" s="20">
        <f t="shared" si="12"/>
        <v>120366</v>
      </c>
      <c r="AI29" s="20">
        <f t="shared" si="5"/>
        <v>37989</v>
      </c>
      <c r="AJ29" s="20">
        <f t="shared" si="6"/>
        <v>88651</v>
      </c>
      <c r="AK29" s="20">
        <f t="shared" si="7"/>
        <v>41032</v>
      </c>
      <c r="AL29" s="20">
        <f t="shared" si="8"/>
        <v>95752</v>
      </c>
      <c r="AM29" s="20">
        <f t="shared" si="9"/>
        <v>111231</v>
      </c>
      <c r="AN29" s="20">
        <f t="shared" si="10"/>
        <v>120142</v>
      </c>
    </row>
    <row r="30" spans="1:40">
      <c r="A30" s="20" t="str">
        <f>'伤害统计(理想)'!A30</f>
        <v>星辰</v>
      </c>
      <c r="B30" s="20">
        <f>'伤害统计(理想)'!B30</f>
        <v>1038</v>
      </c>
      <c r="C30" s="20">
        <f>'伤害统计(理想)'!C30</f>
        <v>34400</v>
      </c>
      <c r="D30" s="20">
        <f>'伤害统计(理想)'!D30</f>
        <v>45792</v>
      </c>
      <c r="E30" s="20">
        <f>'伤害统计(理想)'!E30</f>
        <v>0.99609375</v>
      </c>
      <c r="F30" s="20">
        <f>'伤害统计(理想)'!F30</f>
        <v>1</v>
      </c>
      <c r="G30" s="20">
        <f>'伤害统计(理想)'!G30</f>
        <v>0</v>
      </c>
      <c r="H30" s="20">
        <f>'伤害统计(理想)'!H30</f>
        <v>0</v>
      </c>
      <c r="I30" s="20">
        <f>'伤害统计(理想)'!I30</f>
        <v>0.05</v>
      </c>
      <c r="J30" s="8">
        <f>J2</f>
        <v>0.474365</v>
      </c>
      <c r="K30" s="20">
        <f>'伤害统计(理想)'!K30</f>
        <v>0.1181</v>
      </c>
      <c r="L30" s="20">
        <f>'伤害统计(理想)'!L30</f>
        <v>0.177214436704937</v>
      </c>
      <c r="M30" s="20">
        <f>'伤害统计(理想)'!M30</f>
        <v>0.3473</v>
      </c>
      <c r="N30" s="20">
        <f>'伤害统计(理想)'!N30</f>
        <v>0.2</v>
      </c>
      <c r="O30" s="20">
        <f>'伤害统计(理想)'!O30</f>
        <v>0.4994</v>
      </c>
      <c r="P30" s="20">
        <f>'伤害统计(理想)'!P30</f>
        <v>0</v>
      </c>
      <c r="Q30" s="20">
        <f>'伤害统计(理想)'!Q30</f>
        <v>0.4994</v>
      </c>
      <c r="R30" s="20">
        <f>'伤害统计(理想)'!R30</f>
        <v>0.2441</v>
      </c>
      <c r="S30" s="20">
        <f>'伤害统计(理想)'!S30</f>
        <v>0.7435</v>
      </c>
      <c r="T30" s="20">
        <f>'伤害统计(理想)'!T30</f>
        <v>2.0895</v>
      </c>
      <c r="U30" s="20">
        <f>'伤害统计(理想)'!U30</f>
        <v>0</v>
      </c>
      <c r="V30" s="20">
        <f>'伤害统计(理想)'!V30</f>
        <v>2.0895</v>
      </c>
      <c r="W30" s="20">
        <f>'伤害统计(理想)'!W30</f>
        <v>0.2441</v>
      </c>
      <c r="X30" s="20">
        <f>'伤害统计(理想)'!X30</f>
        <v>2.3336</v>
      </c>
      <c r="Y30" s="20">
        <f>'伤害统计(理想)'!Y30</f>
        <v>0.2441</v>
      </c>
      <c r="Z30" s="20">
        <f>'伤害统计(理想)'!Z30</f>
        <v>2.3336</v>
      </c>
      <c r="AA30" s="20">
        <f>'伤害统计(理想)'!AA30</f>
        <v>0.1953</v>
      </c>
      <c r="AB30" s="20">
        <f>'伤害统计(理想)'!AB30</f>
        <v>2.5289</v>
      </c>
      <c r="AC30" s="20">
        <f t="shared" si="0"/>
        <v>64046</v>
      </c>
      <c r="AD30" s="20">
        <f t="shared" si="1"/>
        <v>87568</v>
      </c>
      <c r="AE30" s="20">
        <f t="shared" si="2"/>
        <v>94582</v>
      </c>
      <c r="AF30" s="20">
        <f t="shared" si="3"/>
        <v>133824</v>
      </c>
      <c r="AG30" s="20">
        <f t="shared" si="4"/>
        <v>204348</v>
      </c>
      <c r="AH30" s="20">
        <f t="shared" si="12"/>
        <v>239632</v>
      </c>
      <c r="AI30" s="20">
        <f t="shared" si="5"/>
        <v>75807</v>
      </c>
      <c r="AJ30" s="20">
        <f t="shared" si="6"/>
        <v>176903</v>
      </c>
      <c r="AK30" s="20">
        <f t="shared" si="7"/>
        <v>81879</v>
      </c>
      <c r="AL30" s="20">
        <f t="shared" si="8"/>
        <v>191072</v>
      </c>
      <c r="AM30" s="20">
        <f t="shared" si="9"/>
        <v>221450</v>
      </c>
      <c r="AN30" s="20">
        <f t="shared" si="10"/>
        <v>239188</v>
      </c>
    </row>
    <row r="31" spans="1:40">
      <c r="A31" s="20" t="str">
        <f>'伤害统计(理想)'!A31</f>
        <v>四象轮回·神兵</v>
      </c>
      <c r="B31" s="20">
        <f>'伤害统计(理想)'!B31</f>
        <v>21</v>
      </c>
      <c r="C31" s="20">
        <f>'伤害统计(理想)'!C31</f>
        <v>34400</v>
      </c>
      <c r="D31" s="20">
        <f>'伤害统计(理想)'!D31</f>
        <v>45792</v>
      </c>
      <c r="E31" s="20">
        <f>'伤害统计(理想)'!E31</f>
        <v>0.338541666666667</v>
      </c>
      <c r="F31" s="20">
        <f>'伤害统计(理想)'!F31</f>
        <v>1</v>
      </c>
      <c r="G31" s="20">
        <f>'伤害统计(理想)'!G31</f>
        <v>0</v>
      </c>
      <c r="H31" s="20">
        <f>'伤害统计(理想)'!H31</f>
        <v>0</v>
      </c>
      <c r="I31" s="20">
        <f>'伤害统计(理想)'!I31</f>
        <v>0.05</v>
      </c>
      <c r="J31" s="8">
        <f>J2</f>
        <v>0.474365</v>
      </c>
      <c r="K31" s="20">
        <f>'伤害统计(理想)'!K31</f>
        <v>0.1181</v>
      </c>
      <c r="L31" s="20">
        <f>'伤害统计(理想)'!L31</f>
        <v>0.177214436704937</v>
      </c>
      <c r="M31" s="20">
        <f>'伤害统计(理想)'!M31</f>
        <v>0.3473</v>
      </c>
      <c r="N31" s="20">
        <f>'伤害统计(理想)'!N31</f>
        <v>0.2</v>
      </c>
      <c r="O31" s="20">
        <f>'伤害统计(理想)'!O31</f>
        <v>0.4994</v>
      </c>
      <c r="P31" s="20">
        <f>'伤害统计(理想)'!P31</f>
        <v>0</v>
      </c>
      <c r="Q31" s="20">
        <f>'伤害统计(理想)'!Q31</f>
        <v>0.4994</v>
      </c>
      <c r="R31" s="20">
        <f>'伤害统计(理想)'!R31</f>
        <v>0.2441</v>
      </c>
      <c r="S31" s="20">
        <f>'伤害统计(理想)'!S31</f>
        <v>0.7435</v>
      </c>
      <c r="T31" s="20">
        <f>'伤害统计(理想)'!T31</f>
        <v>2.0895</v>
      </c>
      <c r="U31" s="20">
        <f>'伤害统计(理想)'!U31</f>
        <v>0</v>
      </c>
      <c r="V31" s="20">
        <f>'伤害统计(理想)'!V31</f>
        <v>2.0895</v>
      </c>
      <c r="W31" s="20">
        <f>'伤害统计(理想)'!W31</f>
        <v>0.2441</v>
      </c>
      <c r="X31" s="20">
        <f>'伤害统计(理想)'!X31</f>
        <v>2.3336</v>
      </c>
      <c r="Y31" s="20">
        <f>'伤害统计(理想)'!Y31</f>
        <v>0.2441</v>
      </c>
      <c r="Z31" s="20">
        <f>'伤害统计(理想)'!Z31</f>
        <v>2.3336</v>
      </c>
      <c r="AA31" s="20">
        <f>'伤害统计(理想)'!AA31</f>
        <v>0.1953</v>
      </c>
      <c r="AB31" s="20">
        <f>'伤害统计(理想)'!AB31</f>
        <v>2.5289</v>
      </c>
      <c r="AC31" s="20">
        <f t="shared" si="0"/>
        <v>21311</v>
      </c>
      <c r="AD31" s="20">
        <f t="shared" si="1"/>
        <v>29306</v>
      </c>
      <c r="AE31" s="20">
        <f t="shared" si="2"/>
        <v>31653</v>
      </c>
      <c r="AF31" s="20">
        <f t="shared" si="3"/>
        <v>44529</v>
      </c>
      <c r="AG31" s="20">
        <f t="shared" si="4"/>
        <v>68388</v>
      </c>
      <c r="AH31" s="20">
        <f t="shared" si="12"/>
        <v>80196</v>
      </c>
      <c r="AI31" s="20">
        <f t="shared" si="5"/>
        <v>25309</v>
      </c>
      <c r="AJ31" s="20">
        <f t="shared" si="6"/>
        <v>59061</v>
      </c>
      <c r="AK31" s="20">
        <f t="shared" si="7"/>
        <v>27336</v>
      </c>
      <c r="AL31" s="20">
        <f t="shared" si="8"/>
        <v>63791</v>
      </c>
      <c r="AM31" s="20">
        <f t="shared" si="9"/>
        <v>74111</v>
      </c>
      <c r="AN31" s="20">
        <f t="shared" si="10"/>
        <v>80047</v>
      </c>
    </row>
    <row r="32" spans="1:40">
      <c r="A32" s="20" t="str">
        <f>'伤害统计(理想)'!A32</f>
        <v>太极无极(若冲)</v>
      </c>
      <c r="B32" s="20">
        <f>'伤害统计(理想)'!B32</f>
        <v>53</v>
      </c>
      <c r="C32" s="20">
        <f>'伤害统计(理想)'!C32</f>
        <v>99</v>
      </c>
      <c r="D32" s="20">
        <f>'伤害统计(理想)'!D32</f>
        <v>45792</v>
      </c>
      <c r="E32" s="20">
        <f>'伤害统计(理想)'!E32</f>
        <v>0.5</v>
      </c>
      <c r="F32" s="20">
        <f>'伤害统计(理想)'!F32</f>
        <v>1</v>
      </c>
      <c r="G32" s="20">
        <f>'伤害统计(理想)'!G32</f>
        <v>0.5</v>
      </c>
      <c r="H32" s="20">
        <f>'伤害统计(理想)'!H32</f>
        <v>0.3</v>
      </c>
      <c r="I32" s="20">
        <f>'伤害统计(理想)'!I32</f>
        <v>0.05</v>
      </c>
      <c r="J32" s="8">
        <f>J2</f>
        <v>0.474365</v>
      </c>
      <c r="K32" s="20">
        <f>'伤害统计(理想)'!K32</f>
        <v>0.1181</v>
      </c>
      <c r="L32" s="20">
        <f>'伤害统计(理想)'!L32</f>
        <v>0.177214436704937</v>
      </c>
      <c r="M32" s="20">
        <f>'伤害统计(理想)'!M32</f>
        <v>0.3473</v>
      </c>
      <c r="N32" s="20">
        <f>'伤害统计(理想)'!N32</f>
        <v>0.2</v>
      </c>
      <c r="O32" s="20">
        <f>'伤害统计(理想)'!O32</f>
        <v>0.4994</v>
      </c>
      <c r="P32" s="20">
        <f>'伤害统计(理想)'!P32</f>
        <v>0</v>
      </c>
      <c r="Q32" s="20">
        <f>'伤害统计(理想)'!Q32</f>
        <v>0.4994</v>
      </c>
      <c r="R32" s="20">
        <f>'伤害统计(理想)'!R32</f>
        <v>0.2441</v>
      </c>
      <c r="S32" s="20">
        <f>'伤害统计(理想)'!S32</f>
        <v>0.7435</v>
      </c>
      <c r="T32" s="20">
        <f>'伤害统计(理想)'!T32</f>
        <v>2.0895</v>
      </c>
      <c r="U32" s="20">
        <f>'伤害统计(理想)'!U32</f>
        <v>0</v>
      </c>
      <c r="V32" s="20">
        <f>'伤害统计(理想)'!V32</f>
        <v>2.0895</v>
      </c>
      <c r="W32" s="20">
        <f>'伤害统计(理想)'!W32</f>
        <v>0.2441</v>
      </c>
      <c r="X32" s="20">
        <f>'伤害统计(理想)'!X32</f>
        <v>2.3336</v>
      </c>
      <c r="Y32" s="20">
        <f>'伤害统计(理想)'!Y32</f>
        <v>0.2441</v>
      </c>
      <c r="Z32" s="20">
        <f>'伤害统计(理想)'!Z32</f>
        <v>2.3336</v>
      </c>
      <c r="AA32" s="20">
        <f>'伤害统计(理想)'!AA32</f>
        <v>0.1953</v>
      </c>
      <c r="AB32" s="20">
        <f>'伤害统计(理想)'!AB32</f>
        <v>2.5289</v>
      </c>
      <c r="AC32" s="20">
        <f t="shared" si="0"/>
        <v>56711</v>
      </c>
      <c r="AD32" s="20">
        <f t="shared" si="1"/>
        <v>56772</v>
      </c>
      <c r="AE32" s="20">
        <f t="shared" si="2"/>
        <v>61320</v>
      </c>
      <c r="AF32" s="20">
        <f t="shared" si="3"/>
        <v>118497</v>
      </c>
      <c r="AG32" s="20">
        <f t="shared" si="4"/>
        <v>132483</v>
      </c>
      <c r="AH32" s="20">
        <f t="shared" si="12"/>
        <v>155360</v>
      </c>
      <c r="AI32" s="20">
        <f t="shared" si="5"/>
        <v>56742</v>
      </c>
      <c r="AJ32" s="20">
        <f t="shared" si="6"/>
        <v>132413</v>
      </c>
      <c r="AK32" s="20">
        <f t="shared" si="7"/>
        <v>61287</v>
      </c>
      <c r="AL32" s="20">
        <f t="shared" si="8"/>
        <v>143019</v>
      </c>
      <c r="AM32" s="20">
        <f t="shared" si="9"/>
        <v>143570</v>
      </c>
      <c r="AN32" s="20">
        <f t="shared" si="10"/>
        <v>155072</v>
      </c>
    </row>
    <row r="33" spans="1:29">
      <c r="A33" s="20">
        <f>'伤害统计(理想)'!A33</f>
        <v>0</v>
      </c>
      <c r="B33" s="20">
        <f>'伤害统计(理想)'!B33</f>
        <v>0</v>
      </c>
      <c r="C33" s="20">
        <f>'伤害统计(理想)'!C33</f>
        <v>0</v>
      </c>
      <c r="D33" s="20">
        <f>'伤害统计(理想)'!D33</f>
        <v>0</v>
      </c>
      <c r="E33" s="20">
        <f>'伤害统计(理想)'!E33</f>
        <v>0</v>
      </c>
      <c r="F33" s="20">
        <f>'伤害统计(理想)'!F33</f>
        <v>0</v>
      </c>
      <c r="G33" s="20">
        <f>'伤害统计(理想)'!G33</f>
        <v>0</v>
      </c>
      <c r="H33" s="20">
        <f>'伤害统计(理想)'!H33</f>
        <v>0</v>
      </c>
      <c r="I33" s="20">
        <f>'伤害统计(理想)'!I33</f>
        <v>0</v>
      </c>
      <c r="J33" s="20">
        <f>'伤害统计(理想)'!J33</f>
        <v>0</v>
      </c>
      <c r="K33" s="20">
        <f>'伤害统计(理想)'!K33</f>
        <v>0</v>
      </c>
      <c r="L33" s="20">
        <f>'伤害统计(理想)'!L33</f>
        <v>0</v>
      </c>
      <c r="M33" s="20">
        <f>'伤害统计(理想)'!M33</f>
        <v>0</v>
      </c>
      <c r="N33" s="20">
        <f>'伤害统计(理想)'!N33</f>
        <v>0</v>
      </c>
      <c r="O33" s="20">
        <f>'伤害统计(理想)'!O33</f>
        <v>0</v>
      </c>
      <c r="P33" s="20">
        <f>'伤害统计(理想)'!P33</f>
        <v>0</v>
      </c>
      <c r="Q33" s="20">
        <f>'伤害统计(理想)'!Q33</f>
        <v>0</v>
      </c>
      <c r="R33" s="20">
        <f>'伤害统计(理想)'!R33</f>
        <v>0</v>
      </c>
      <c r="S33" s="20">
        <f>'伤害统计(理想)'!S33</f>
        <v>0</v>
      </c>
      <c r="T33" s="20">
        <f>'伤害统计(理想)'!T33</f>
        <v>0</v>
      </c>
      <c r="U33" s="20">
        <f>'伤害统计(理想)'!U33</f>
        <v>0</v>
      </c>
      <c r="V33" s="20">
        <f>'伤害统计(理想)'!V33</f>
        <v>0</v>
      </c>
      <c r="W33" s="20">
        <f>'伤害统计(理想)'!W33</f>
        <v>0</v>
      </c>
      <c r="X33" s="20">
        <f>'伤害统计(理想)'!X33</f>
        <v>0</v>
      </c>
      <c r="Y33" s="20">
        <f>'伤害统计(理想)'!Y33</f>
        <v>0</v>
      </c>
      <c r="Z33" s="20">
        <f>'伤害统计(理想)'!Z33</f>
        <v>0</v>
      </c>
      <c r="AA33" s="20">
        <f>'伤害统计(理想)'!AA33</f>
        <v>0</v>
      </c>
      <c r="AB33" s="20">
        <f>'伤害统计(理想)'!AB33</f>
        <v>0</v>
      </c>
      <c r="AC33" s="29"/>
    </row>
    <row r="34" spans="1:29">
      <c r="A34" s="20">
        <f>'伤害统计(理想)'!A34</f>
        <v>0</v>
      </c>
      <c r="B34" s="20">
        <f>'伤害统计(理想)'!B34</f>
        <v>0</v>
      </c>
      <c r="C34" s="20">
        <f>'伤害统计(理想)'!C34</f>
        <v>0</v>
      </c>
      <c r="D34" s="20">
        <f>'伤害统计(理想)'!D34</f>
        <v>0</v>
      </c>
      <c r="E34" s="20">
        <f>'伤害统计(理想)'!E34</f>
        <v>0</v>
      </c>
      <c r="F34" s="20">
        <f>'伤害统计(理想)'!F34</f>
        <v>0</v>
      </c>
      <c r="G34" s="20">
        <f>'伤害统计(理想)'!G34</f>
        <v>0</v>
      </c>
      <c r="H34" s="20">
        <f>'伤害统计(理想)'!H34</f>
        <v>0</v>
      </c>
      <c r="I34" s="20">
        <f>'伤害统计(理想)'!I34</f>
        <v>0</v>
      </c>
      <c r="J34" s="20">
        <f>'伤害统计(理想)'!J34</f>
        <v>0</v>
      </c>
      <c r="K34" s="20">
        <f>'伤害统计(理想)'!K34</f>
        <v>0</v>
      </c>
      <c r="L34" s="20">
        <f>'伤害统计(理想)'!L34</f>
        <v>0</v>
      </c>
      <c r="M34" s="20">
        <f>'伤害统计(理想)'!M34</f>
        <v>0</v>
      </c>
      <c r="N34" s="20">
        <f>'伤害统计(理想)'!N34</f>
        <v>0</v>
      </c>
      <c r="O34" s="20">
        <f>'伤害统计(理想)'!O34</f>
        <v>0</v>
      </c>
      <c r="P34" s="20">
        <f>'伤害统计(理想)'!P34</f>
        <v>0</v>
      </c>
      <c r="Q34" s="20">
        <f>'伤害统计(理想)'!Q34</f>
        <v>0</v>
      </c>
      <c r="R34" s="20">
        <f>'伤害统计(理想)'!R34</f>
        <v>0</v>
      </c>
      <c r="S34" s="20">
        <f>'伤害统计(理想)'!S34</f>
        <v>0</v>
      </c>
      <c r="T34" s="20">
        <f>'伤害统计(理想)'!T34</f>
        <v>0</v>
      </c>
      <c r="U34" s="20">
        <f>'伤害统计(理想)'!U34</f>
        <v>0</v>
      </c>
      <c r="V34" s="20">
        <f>'伤害统计(理想)'!V34</f>
        <v>0</v>
      </c>
      <c r="W34" s="20">
        <f>'伤害统计(理想)'!W34</f>
        <v>0</v>
      </c>
      <c r="X34" s="20">
        <f>'伤害统计(理想)'!X34</f>
        <v>0</v>
      </c>
      <c r="Y34" s="20">
        <f>'伤害统计(理想)'!Y34</f>
        <v>0</v>
      </c>
      <c r="Z34" s="20">
        <f>'伤害统计(理想)'!Z34</f>
        <v>0</v>
      </c>
      <c r="AA34" s="20">
        <f>'伤害统计(理想)'!AA34</f>
        <v>0</v>
      </c>
      <c r="AB34" s="20">
        <f>'伤害统计(理想)'!AB34</f>
        <v>0</v>
      </c>
      <c r="AC34" s="29"/>
    </row>
    <row r="35" spans="1:29">
      <c r="A35" s="20">
        <f>'伤害统计(理想)'!A35</f>
        <v>0</v>
      </c>
      <c r="B35" s="20">
        <f>'伤害统计(理想)'!B35</f>
        <v>0</v>
      </c>
      <c r="C35" s="20">
        <f>'伤害统计(理想)'!C35</f>
        <v>0</v>
      </c>
      <c r="D35" s="20">
        <f>'伤害统计(理想)'!D35</f>
        <v>0</v>
      </c>
      <c r="E35" s="20">
        <f>'伤害统计(理想)'!E35</f>
        <v>0</v>
      </c>
      <c r="F35" s="20">
        <f>'伤害统计(理想)'!F35</f>
        <v>0</v>
      </c>
      <c r="G35" s="20">
        <f>'伤害统计(理想)'!G35</f>
        <v>0</v>
      </c>
      <c r="H35" s="20">
        <f>'伤害统计(理想)'!H35</f>
        <v>0</v>
      </c>
      <c r="I35" s="20">
        <f>'伤害统计(理想)'!I35</f>
        <v>0</v>
      </c>
      <c r="J35" s="20">
        <f>'伤害统计(理想)'!J35</f>
        <v>0</v>
      </c>
      <c r="K35" s="20">
        <f>'伤害统计(理想)'!K35</f>
        <v>0</v>
      </c>
      <c r="L35" s="20">
        <f>'伤害统计(理想)'!L35</f>
        <v>0</v>
      </c>
      <c r="M35" s="20">
        <f>'伤害统计(理想)'!M35</f>
        <v>0</v>
      </c>
      <c r="N35" s="20">
        <f>'伤害统计(理想)'!N35</f>
        <v>0</v>
      </c>
      <c r="O35" s="20">
        <f>'伤害统计(理想)'!O35</f>
        <v>0</v>
      </c>
      <c r="P35" s="20">
        <f>'伤害统计(理想)'!P35</f>
        <v>0</v>
      </c>
      <c r="Q35" s="20">
        <f>'伤害统计(理想)'!Q35</f>
        <v>0</v>
      </c>
      <c r="R35" s="20">
        <f>'伤害统计(理想)'!R35</f>
        <v>0</v>
      </c>
      <c r="S35" s="20">
        <f>'伤害统计(理想)'!S35</f>
        <v>0</v>
      </c>
      <c r="T35" s="20">
        <f>'伤害统计(理想)'!T35</f>
        <v>0</v>
      </c>
      <c r="U35" s="20">
        <f>'伤害统计(理想)'!U35</f>
        <v>0</v>
      </c>
      <c r="V35" s="20">
        <f>'伤害统计(理想)'!V35</f>
        <v>0</v>
      </c>
      <c r="W35" s="20">
        <f>'伤害统计(理想)'!W35</f>
        <v>0</v>
      </c>
      <c r="X35" s="20">
        <f>'伤害统计(理想)'!X35</f>
        <v>0</v>
      </c>
      <c r="Y35" s="20">
        <f>'伤害统计(理想)'!Y35</f>
        <v>0</v>
      </c>
      <c r="Z35" s="20">
        <f>'伤害统计(理想)'!Z35</f>
        <v>0</v>
      </c>
      <c r="AA35" s="20">
        <f>'伤害统计(理想)'!AA35</f>
        <v>0</v>
      </c>
      <c r="AB35" s="20">
        <f>'伤害统计(理想)'!AB35</f>
        <v>0</v>
      </c>
      <c r="AC35" s="29"/>
    </row>
    <row r="36" spans="1:29">
      <c r="A36" s="20">
        <f>'伤害统计(理想)'!A36</f>
        <v>0</v>
      </c>
      <c r="B36" s="20">
        <f>'伤害统计(理想)'!B36</f>
        <v>0</v>
      </c>
      <c r="C36" s="20">
        <f>'伤害统计(理想)'!C36</f>
        <v>0</v>
      </c>
      <c r="D36" s="20">
        <f>'伤害统计(理想)'!D36</f>
        <v>0</v>
      </c>
      <c r="E36" s="20">
        <f>'伤害统计(理想)'!E36</f>
        <v>0</v>
      </c>
      <c r="F36" s="20">
        <f>'伤害统计(理想)'!F36</f>
        <v>0</v>
      </c>
      <c r="G36" s="20">
        <f>'伤害统计(理想)'!G36</f>
        <v>0</v>
      </c>
      <c r="H36" s="20">
        <f>'伤害统计(理想)'!H36</f>
        <v>0</v>
      </c>
      <c r="I36" s="20">
        <f>'伤害统计(理想)'!I36</f>
        <v>0</v>
      </c>
      <c r="J36" s="20">
        <f>'伤害统计(理想)'!J36</f>
        <v>0</v>
      </c>
      <c r="K36" s="20">
        <f>'伤害统计(理想)'!K36</f>
        <v>0</v>
      </c>
      <c r="L36" s="20">
        <f>'伤害统计(理想)'!L36</f>
        <v>0</v>
      </c>
      <c r="M36" s="20">
        <f>'伤害统计(理想)'!M36</f>
        <v>0</v>
      </c>
      <c r="N36" s="20">
        <f>'伤害统计(理想)'!N36</f>
        <v>0</v>
      </c>
      <c r="O36" s="20">
        <f>'伤害统计(理想)'!O36</f>
        <v>0</v>
      </c>
      <c r="P36" s="20">
        <f>'伤害统计(理想)'!P36</f>
        <v>0</v>
      </c>
      <c r="Q36" s="20">
        <f>'伤害统计(理想)'!Q36</f>
        <v>0</v>
      </c>
      <c r="R36" s="20">
        <f>'伤害统计(理想)'!R36</f>
        <v>0</v>
      </c>
      <c r="S36" s="20">
        <f>'伤害统计(理想)'!S36</f>
        <v>0</v>
      </c>
      <c r="T36" s="20">
        <f>'伤害统计(理想)'!T36</f>
        <v>0</v>
      </c>
      <c r="U36" s="20">
        <f>'伤害统计(理想)'!U36</f>
        <v>0</v>
      </c>
      <c r="V36" s="20">
        <f>'伤害统计(理想)'!V36</f>
        <v>0</v>
      </c>
      <c r="W36" s="20">
        <f>'伤害统计(理想)'!W36</f>
        <v>0</v>
      </c>
      <c r="X36" s="20">
        <f>'伤害统计(理想)'!X36</f>
        <v>0</v>
      </c>
      <c r="Y36" s="20">
        <f>'伤害统计(理想)'!Y36</f>
        <v>0</v>
      </c>
      <c r="Z36" s="20">
        <f>'伤害统计(理想)'!Z36</f>
        <v>0</v>
      </c>
      <c r="AA36" s="20">
        <f>'伤害统计(理想)'!AA36</f>
        <v>0</v>
      </c>
      <c r="AB36" s="20">
        <f>'伤害统计(理想)'!AB36</f>
        <v>0</v>
      </c>
      <c r="AC36" s="29"/>
    </row>
    <row r="37" spans="1:29">
      <c r="A37" s="20">
        <f>'伤害统计(理想)'!A37</f>
        <v>0</v>
      </c>
      <c r="B37" s="20" t="str">
        <f>'伤害统计(理想)'!B37</f>
        <v>常规</v>
      </c>
      <c r="C37" s="20" t="str">
        <f>'伤害统计(理想)'!C37</f>
        <v>小紫</v>
      </c>
      <c r="D37" s="20" t="str">
        <f>'伤害统计(理想)'!D37</f>
        <v>大紫</v>
      </c>
      <c r="E37" s="20" t="str">
        <f>'伤害统计(理想)'!E37</f>
        <v>大紫会神</v>
      </c>
      <c r="F37" s="20" t="str">
        <f>'伤害统计(理想)'!F37</f>
        <v>腰坠常规</v>
      </c>
      <c r="G37" s="20" t="str">
        <f>'伤害统计(理想)'!G37</f>
        <v>腰坠小紫</v>
      </c>
      <c r="H37" s="20" t="str">
        <f>'伤害统计(理想)'!H37</f>
        <v>腰坠大紫</v>
      </c>
      <c r="I37" s="20" t="str">
        <f>'伤害统计(理想)'!I37</f>
        <v>腰坠大紫会神</v>
      </c>
      <c r="J37" s="20">
        <f>'伤害统计(理想)'!J37</f>
        <v>0</v>
      </c>
      <c r="K37" s="20">
        <f>'伤害统计(理想)'!K37</f>
        <v>0</v>
      </c>
      <c r="L37" s="20" t="str">
        <f>'伤害统计(理想)'!L37</f>
        <v>技能数统计</v>
      </c>
      <c r="M37" s="20" t="str">
        <f>'伤害统计(理想)'!M37</f>
        <v>不可修改</v>
      </c>
      <c r="N37" s="20">
        <f>'伤害统计(理想)'!N37</f>
        <v>0</v>
      </c>
      <c r="O37" s="20">
        <f>'伤害统计(理想)'!O37</f>
        <v>0</v>
      </c>
      <c r="P37" s="20">
        <f>'伤害统计(理想)'!P37</f>
        <v>0</v>
      </c>
      <c r="Q37" s="20">
        <f>'伤害统计(理想)'!Q37</f>
        <v>0</v>
      </c>
      <c r="R37" s="20">
        <f>'伤害统计(理想)'!R37</f>
        <v>0</v>
      </c>
      <c r="S37" s="20">
        <f>'伤害统计(理想)'!S37</f>
        <v>0</v>
      </c>
      <c r="T37" s="20">
        <f>'伤害统计(理想)'!T37</f>
        <v>0</v>
      </c>
      <c r="U37" s="20">
        <f>'伤害统计(理想)'!U37</f>
        <v>0</v>
      </c>
      <c r="V37" s="20">
        <f>'伤害统计(理想)'!V37</f>
        <v>0</v>
      </c>
      <c r="W37" s="20">
        <f>'伤害统计(理想)'!W37</f>
        <v>0</v>
      </c>
      <c r="X37" s="20">
        <f>'伤害统计(理想)'!X37</f>
        <v>0</v>
      </c>
      <c r="Y37" s="20">
        <f>'伤害统计(理想)'!Y37</f>
        <v>0</v>
      </c>
      <c r="Z37" s="20">
        <f>'伤害统计(理想)'!Z37</f>
        <v>0</v>
      </c>
      <c r="AA37" s="20">
        <f>'伤害统计(理想)'!AA37</f>
        <v>0</v>
      </c>
      <c r="AB37" s="20">
        <f>'伤害统计(理想)'!AB37</f>
        <v>0</v>
      </c>
      <c r="AC37" s="29"/>
    </row>
    <row r="38" spans="1:29">
      <c r="A38" s="20" t="str">
        <f>'伤害统计(理想)'!A38</f>
        <v>万世二段</v>
      </c>
      <c r="B38" s="20">
        <f>'伤害统计(理想)'!B38</f>
        <v>7</v>
      </c>
      <c r="C38" s="20">
        <f>'伤害统计(理想)'!C38</f>
        <v>0</v>
      </c>
      <c r="D38" s="20">
        <f>'伤害统计(理想)'!D38</f>
        <v>0</v>
      </c>
      <c r="E38" s="20">
        <f>'伤害统计(理想)'!E38</f>
        <v>0</v>
      </c>
      <c r="F38" s="20">
        <f>'伤害统计(理想)'!F38</f>
        <v>0</v>
      </c>
      <c r="G38" s="20">
        <f>'伤害统计(理想)'!G38</f>
        <v>0</v>
      </c>
      <c r="H38" s="20">
        <f>'伤害统计(理想)'!H38</f>
        <v>0</v>
      </c>
      <c r="I38" s="20">
        <f>'伤害统计(理想)'!I38</f>
        <v>0</v>
      </c>
      <c r="J38" s="20">
        <f>'伤害统计(理想)'!J38</f>
        <v>0</v>
      </c>
      <c r="K38" s="20">
        <f>'伤害统计(理想)'!K38</f>
        <v>7</v>
      </c>
      <c r="L38" s="20">
        <f>'伤害统计(理想)'!L38</f>
        <v>7</v>
      </c>
      <c r="M38" s="20">
        <f>'伤害统计(理想)'!M38</f>
        <v>7</v>
      </c>
      <c r="N38" s="20" t="str">
        <f>'伤害统计(理想)'!N38</f>
        <v>伤害统计</v>
      </c>
      <c r="O38" s="20">
        <f>'伤害统计(理想)'!O38</f>
        <v>0</v>
      </c>
      <c r="P38" s="20">
        <f>'伤害统计(理想)'!P38</f>
        <v>0</v>
      </c>
      <c r="Q38" s="20">
        <f>'伤害统计(理想)'!Q38</f>
        <v>0</v>
      </c>
      <c r="R38" s="20">
        <f>'伤害统计(理想)'!R38</f>
        <v>0</v>
      </c>
      <c r="S38" s="20">
        <f>'伤害统计(理想)'!S38</f>
        <v>0</v>
      </c>
      <c r="T38" s="20">
        <f>'伤害统计(理想)'!T38</f>
        <v>0</v>
      </c>
      <c r="U38" s="20">
        <f>'伤害统计(理想)'!U38</f>
        <v>0</v>
      </c>
      <c r="V38" s="20">
        <f>'伤害统计(理想)'!V38</f>
        <v>0</v>
      </c>
      <c r="W38" s="20">
        <f>'伤害统计(理想)'!W38</f>
        <v>0</v>
      </c>
      <c r="X38" s="20">
        <f>'伤害统计(理想)'!X38</f>
        <v>0</v>
      </c>
      <c r="Y38" s="20">
        <f>'伤害统计(理想)'!Y38</f>
        <v>0</v>
      </c>
      <c r="Z38" s="20">
        <f>'伤害统计(理想)'!Z38</f>
        <v>0</v>
      </c>
      <c r="AA38" s="20">
        <f>'伤害统计(理想)'!AA38</f>
        <v>0</v>
      </c>
      <c r="AB38" s="20">
        <f>'伤害统计(理想)'!AB38</f>
        <v>0</v>
      </c>
      <c r="AC38" s="29"/>
    </row>
    <row r="39" spans="1:29">
      <c r="A39" s="20" t="str">
        <f>'伤害统计(理想)'!A39</f>
        <v>飞剑1</v>
      </c>
      <c r="B39" s="20">
        <f>'伤害统计(理想)'!B39</f>
        <v>99</v>
      </c>
      <c r="C39" s="20">
        <f>'伤害统计(理想)'!C39</f>
        <v>0</v>
      </c>
      <c r="D39" s="20">
        <f>'伤害统计(理想)'!D39</f>
        <v>5</v>
      </c>
      <c r="E39" s="20">
        <f>'伤害统计(理想)'!E39</f>
        <v>10</v>
      </c>
      <c r="F39" s="20">
        <f>'伤害统计(理想)'!F39</f>
        <v>2</v>
      </c>
      <c r="G39" s="20">
        <f>'伤害统计(理想)'!G39</f>
        <v>0</v>
      </c>
      <c r="H39" s="20">
        <f>'伤害统计(理想)'!H39</f>
        <v>2</v>
      </c>
      <c r="I39" s="20">
        <f>'伤害统计(理想)'!I39</f>
        <v>4</v>
      </c>
      <c r="J39" s="20">
        <f>'伤害统计(理想)'!J39</f>
        <v>0</v>
      </c>
      <c r="K39" s="20">
        <f>'伤害统计(理想)'!K39</f>
        <v>122</v>
      </c>
      <c r="L39" s="20">
        <f>'伤害统计(理想)'!L39</f>
        <v>610</v>
      </c>
      <c r="M39" s="20">
        <f>'伤害统计(理想)'!M39</f>
        <v>115</v>
      </c>
      <c r="N39" s="20">
        <f>'伤害统计(理想)'!N39</f>
        <v>0</v>
      </c>
      <c r="O39" s="20" t="str">
        <f>'伤害统计(理想)'!O39</f>
        <v>技能名称</v>
      </c>
      <c r="P39" s="20" t="str">
        <f>'伤害统计(理想)'!P39</f>
        <v>次数</v>
      </c>
      <c r="Q39" s="20" t="str">
        <f>'伤害统计(理想)'!Q39</f>
        <v>正常伤害</v>
      </c>
      <c r="R39" s="20" t="str">
        <f>'伤害统计(理想)'!R39</f>
        <v>伤害占比</v>
      </c>
      <c r="S39" s="20">
        <f>'伤害统计(理想)'!S39</f>
        <v>0</v>
      </c>
      <c r="T39" s="20">
        <f>'伤害统计(理想)'!T39</f>
        <v>0</v>
      </c>
      <c r="U39" s="20">
        <f>'伤害统计(理想)'!U39</f>
        <v>0</v>
      </c>
      <c r="V39" s="20">
        <f>'伤害统计(理想)'!V39</f>
        <v>0</v>
      </c>
      <c r="W39" s="20">
        <f>'伤害统计(理想)'!W39</f>
        <v>0</v>
      </c>
      <c r="X39" s="20">
        <f>'伤害统计(理想)'!X39</f>
        <v>0</v>
      </c>
      <c r="Y39" s="20">
        <f>'伤害统计(理想)'!Y39</f>
        <v>0</v>
      </c>
      <c r="Z39" s="20">
        <f>'伤害统计(理想)'!Z39</f>
        <v>0</v>
      </c>
      <c r="AA39" s="20">
        <f>'伤害统计(理想)'!AA39</f>
        <v>0</v>
      </c>
      <c r="AB39" s="20">
        <f>'伤害统计(理想)'!AB39</f>
        <v>0</v>
      </c>
      <c r="AC39" s="29"/>
    </row>
    <row r="40" spans="1:29">
      <c r="A40" s="20" t="str">
        <f>'伤害统计(理想)'!A40</f>
        <v>飞剑2</v>
      </c>
      <c r="B40" s="20">
        <f>'伤害统计(理想)'!B40</f>
        <v>99</v>
      </c>
      <c r="C40" s="20">
        <f>'伤害统计(理想)'!C40</f>
        <v>0</v>
      </c>
      <c r="D40" s="20">
        <f>'伤害统计(理想)'!D40</f>
        <v>5</v>
      </c>
      <c r="E40" s="20">
        <f>'伤害统计(理想)'!E40</f>
        <v>10</v>
      </c>
      <c r="F40" s="20">
        <f>'伤害统计(理想)'!F40</f>
        <v>2</v>
      </c>
      <c r="G40" s="20">
        <f>'伤害统计(理想)'!G40</f>
        <v>0</v>
      </c>
      <c r="H40" s="20">
        <f>'伤害统计(理想)'!H40</f>
        <v>2</v>
      </c>
      <c r="I40" s="20">
        <f>'伤害统计(理想)'!I40</f>
        <v>4</v>
      </c>
      <c r="J40" s="20">
        <f>'伤害统计(理想)'!J40</f>
        <v>0</v>
      </c>
      <c r="K40" s="20">
        <f>'伤害统计(理想)'!K40</f>
        <v>122</v>
      </c>
      <c r="L40" s="20">
        <f>'伤害统计(理想)'!L40</f>
        <v>0</v>
      </c>
      <c r="M40" s="20">
        <f>'伤害统计(理想)'!M40</f>
        <v>0</v>
      </c>
      <c r="N40" s="20">
        <f>'伤害统计(理想)'!N40</f>
        <v>1</v>
      </c>
      <c r="O40" s="20" t="str">
        <f>'伤害统计(理想)'!O40</f>
        <v>破</v>
      </c>
      <c r="P40" s="20">
        <f>'伤害统计(理想)'!P40</f>
        <v>91</v>
      </c>
      <c r="Q40" s="20">
        <f>'伤害统计(理想)'!Q40</f>
        <v>50882445</v>
      </c>
      <c r="R40" s="20">
        <f>'伤害统计(理想)'!R40</f>
        <v>0.235591999359747</v>
      </c>
      <c r="S40" s="20">
        <f>'伤害统计(理想)'!S40</f>
        <v>0</v>
      </c>
      <c r="T40" s="20">
        <f>'伤害统计(理想)'!T40</f>
        <v>0</v>
      </c>
      <c r="U40" s="20">
        <f>'伤害统计(理想)'!U40</f>
        <v>0</v>
      </c>
      <c r="V40" s="20">
        <f>'伤害统计(理想)'!V40</f>
        <v>0</v>
      </c>
      <c r="W40" s="20">
        <f>'伤害统计(理想)'!W40</f>
        <v>0</v>
      </c>
      <c r="X40" s="20">
        <f>'伤害统计(理想)'!X40</f>
        <v>0</v>
      </c>
      <c r="Y40" s="20">
        <f>'伤害统计(理想)'!Y40</f>
        <v>0</v>
      </c>
      <c r="Z40" s="20">
        <f>'伤害统计(理想)'!Z40</f>
        <v>0</v>
      </c>
      <c r="AA40" s="20">
        <f>'伤害统计(理想)'!AA40</f>
        <v>0</v>
      </c>
      <c r="AB40" s="20">
        <f>'伤害统计(理想)'!AB40</f>
        <v>0</v>
      </c>
      <c r="AC40" s="29"/>
    </row>
    <row r="41" spans="1:29">
      <c r="A41" s="20" t="str">
        <f>'伤害统计(理想)'!A41</f>
        <v>飞剑3</v>
      </c>
      <c r="B41" s="20">
        <f>'伤害统计(理想)'!B41</f>
        <v>99</v>
      </c>
      <c r="C41" s="20">
        <f>'伤害统计(理想)'!C41</f>
        <v>0</v>
      </c>
      <c r="D41" s="20">
        <f>'伤害统计(理想)'!D41</f>
        <v>5</v>
      </c>
      <c r="E41" s="20">
        <f>'伤害统计(理想)'!E41</f>
        <v>10</v>
      </c>
      <c r="F41" s="20">
        <f>'伤害统计(理想)'!F41</f>
        <v>2</v>
      </c>
      <c r="G41" s="20">
        <f>'伤害统计(理想)'!G41</f>
        <v>0</v>
      </c>
      <c r="H41" s="20">
        <f>'伤害统计(理想)'!H41</f>
        <v>2</v>
      </c>
      <c r="I41" s="20">
        <f>'伤害统计(理想)'!I41</f>
        <v>4</v>
      </c>
      <c r="J41" s="20">
        <f>'伤害统计(理想)'!J41</f>
        <v>0</v>
      </c>
      <c r="K41" s="20">
        <f>'伤害统计(理想)'!K41</f>
        <v>122</v>
      </c>
      <c r="L41" s="20">
        <f>'伤害统计(理想)'!L41</f>
        <v>0</v>
      </c>
      <c r="M41" s="20">
        <f>'伤害统计(理想)'!M41</f>
        <v>0</v>
      </c>
      <c r="N41" s="20">
        <f>'伤害统计(理想)'!N41</f>
        <v>2</v>
      </c>
      <c r="O41" s="20" t="str">
        <f>'伤害统计(理想)'!O41</f>
        <v>飞剑</v>
      </c>
      <c r="P41" s="20">
        <f>'伤害统计(理想)'!P41</f>
        <v>610</v>
      </c>
      <c r="Q41" s="20">
        <f>'伤害统计(理想)'!Q41</f>
        <v>67946513</v>
      </c>
      <c r="R41" s="20">
        <f>'伤害统计(理想)'!R41</f>
        <v>0.314600739944651</v>
      </c>
      <c r="S41" s="20">
        <f>'伤害统计(理想)'!S41</f>
        <v>0</v>
      </c>
      <c r="T41" s="20">
        <f>'伤害统计(理想)'!T41</f>
        <v>0</v>
      </c>
      <c r="U41" s="20">
        <f>'伤害统计(理想)'!U41</f>
        <v>0</v>
      </c>
      <c r="V41" s="20">
        <f>'伤害统计(理想)'!V41</f>
        <v>0</v>
      </c>
      <c r="W41" s="20">
        <f>'伤害统计(理想)'!W41</f>
        <v>0</v>
      </c>
      <c r="X41" s="20">
        <f>'伤害统计(理想)'!X41</f>
        <v>0</v>
      </c>
      <c r="Y41" s="20">
        <f>'伤害统计(理想)'!Y41</f>
        <v>0</v>
      </c>
      <c r="Z41" s="20">
        <f>'伤害统计(理想)'!Z41</f>
        <v>0</v>
      </c>
      <c r="AA41" s="20">
        <f>'伤害统计(理想)'!AA41</f>
        <v>0</v>
      </c>
      <c r="AB41" s="20">
        <f>'伤害统计(理想)'!AB41</f>
        <v>0</v>
      </c>
      <c r="AC41" s="29"/>
    </row>
    <row r="42" spans="1:29">
      <c r="A42" s="20" t="str">
        <f>'伤害统计(理想)'!A42</f>
        <v>飞剑4</v>
      </c>
      <c r="B42" s="20">
        <f>'伤害统计(理想)'!B42</f>
        <v>99</v>
      </c>
      <c r="C42" s="20">
        <f>'伤害统计(理想)'!C42</f>
        <v>0</v>
      </c>
      <c r="D42" s="20">
        <f>'伤害统计(理想)'!D42</f>
        <v>5</v>
      </c>
      <c r="E42" s="20">
        <f>'伤害统计(理想)'!E42</f>
        <v>10</v>
      </c>
      <c r="F42" s="20">
        <f>'伤害统计(理想)'!F42</f>
        <v>2</v>
      </c>
      <c r="G42" s="20">
        <f>'伤害统计(理想)'!G42</f>
        <v>0</v>
      </c>
      <c r="H42" s="20">
        <f>'伤害统计(理想)'!H42</f>
        <v>2</v>
      </c>
      <c r="I42" s="20">
        <f>'伤害统计(理想)'!I42</f>
        <v>4</v>
      </c>
      <c r="J42" s="20">
        <f>'伤害统计(理想)'!J42</f>
        <v>0</v>
      </c>
      <c r="K42" s="20">
        <f>'伤害统计(理想)'!K42</f>
        <v>122</v>
      </c>
      <c r="L42" s="20">
        <f>'伤害统计(理想)'!L42</f>
        <v>0</v>
      </c>
      <c r="M42" s="20">
        <f>'伤害统计(理想)'!M42</f>
        <v>0</v>
      </c>
      <c r="N42" s="20">
        <f>'伤害统计(理想)'!N42</f>
        <v>3</v>
      </c>
      <c r="O42" s="20" t="str">
        <f>'伤害统计(理想)'!O42</f>
        <v>两仪</v>
      </c>
      <c r="P42" s="20">
        <f>'伤害统计(理想)'!P42</f>
        <v>84</v>
      </c>
      <c r="Q42" s="20">
        <f>'伤害统计(理想)'!Q42</f>
        <v>28818379</v>
      </c>
      <c r="R42" s="20">
        <f>'伤害统计(理想)'!R42</f>
        <v>0.133432651023687</v>
      </c>
      <c r="S42" s="20">
        <f>'伤害统计(理想)'!S42</f>
        <v>0</v>
      </c>
      <c r="T42" s="20">
        <f>'伤害统计(理想)'!T42</f>
        <v>0</v>
      </c>
      <c r="U42" s="20">
        <f>'伤害统计(理想)'!U42</f>
        <v>0</v>
      </c>
      <c r="V42" s="20">
        <f>'伤害统计(理想)'!V42</f>
        <v>0</v>
      </c>
      <c r="W42" s="20">
        <f>'伤害统计(理想)'!W42</f>
        <v>0</v>
      </c>
      <c r="X42" s="20">
        <f>'伤害统计(理想)'!X42</f>
        <v>0</v>
      </c>
      <c r="Y42" s="20">
        <f>'伤害统计(理想)'!Y42</f>
        <v>0</v>
      </c>
      <c r="Z42" s="20">
        <f>'伤害统计(理想)'!Z42</f>
        <v>0</v>
      </c>
      <c r="AA42" s="20">
        <f>'伤害统计(理想)'!AA42</f>
        <v>0</v>
      </c>
      <c r="AB42" s="20">
        <f>'伤害统计(理想)'!AB42</f>
        <v>0</v>
      </c>
      <c r="AC42" s="29"/>
    </row>
    <row r="43" spans="1:29">
      <c r="A43" s="20" t="str">
        <f>'伤害统计(理想)'!A43</f>
        <v>飞剑5</v>
      </c>
      <c r="B43" s="20">
        <f>'伤害统计(理想)'!B43</f>
        <v>99</v>
      </c>
      <c r="C43" s="20">
        <f>'伤害统计(理想)'!C43</f>
        <v>0</v>
      </c>
      <c r="D43" s="20">
        <f>'伤害统计(理想)'!D43</f>
        <v>5</v>
      </c>
      <c r="E43" s="20">
        <f>'伤害统计(理想)'!E43</f>
        <v>10</v>
      </c>
      <c r="F43" s="20">
        <f>'伤害统计(理想)'!F43</f>
        <v>2</v>
      </c>
      <c r="G43" s="20">
        <f>'伤害统计(理想)'!G43</f>
        <v>0</v>
      </c>
      <c r="H43" s="20">
        <f>'伤害统计(理想)'!H43</f>
        <v>2</v>
      </c>
      <c r="I43" s="20">
        <f>'伤害统计(理想)'!I43</f>
        <v>4</v>
      </c>
      <c r="J43" s="20">
        <f>'伤害统计(理想)'!J43</f>
        <v>0</v>
      </c>
      <c r="K43" s="20">
        <f>'伤害统计(理想)'!K43</f>
        <v>122</v>
      </c>
      <c r="L43" s="20">
        <f>'伤害统计(理想)'!L43</f>
        <v>0</v>
      </c>
      <c r="M43" s="20">
        <f>'伤害统计(理想)'!M43</f>
        <v>0</v>
      </c>
      <c r="N43" s="20">
        <f>'伤害统计(理想)'!N43</f>
        <v>4</v>
      </c>
      <c r="O43" s="20" t="str">
        <f>'伤害统计(理想)'!O43</f>
        <v>颠越苍穹击</v>
      </c>
      <c r="P43" s="20">
        <f>'伤害统计(理想)'!P43</f>
        <v>168</v>
      </c>
      <c r="Q43" s="20">
        <f>'伤害统计(理想)'!Q43</f>
        <v>21612014</v>
      </c>
      <c r="R43" s="20">
        <f>'伤害统计(理想)'!R43</f>
        <v>0.100066291791812</v>
      </c>
      <c r="S43" s="20">
        <f>'伤害统计(理想)'!S43</f>
        <v>0</v>
      </c>
      <c r="T43" s="20">
        <f>'伤害统计(理想)'!T43</f>
        <v>0</v>
      </c>
      <c r="U43" s="20">
        <f>'伤害统计(理想)'!U43</f>
        <v>0</v>
      </c>
      <c r="V43" s="20">
        <f>'伤害统计(理想)'!V43</f>
        <v>0</v>
      </c>
      <c r="W43" s="20">
        <f>'伤害统计(理想)'!W43</f>
        <v>0</v>
      </c>
      <c r="X43" s="20">
        <f>'伤害统计(理想)'!X43</f>
        <v>0</v>
      </c>
      <c r="Y43" s="20">
        <f>'伤害统计(理想)'!Y43</f>
        <v>0</v>
      </c>
      <c r="Z43" s="20">
        <f>'伤害统计(理想)'!Z43</f>
        <v>0</v>
      </c>
      <c r="AA43" s="20">
        <f>'伤害统计(理想)'!AA43</f>
        <v>0</v>
      </c>
      <c r="AB43" s="20">
        <f>'伤害统计(理想)'!AB43</f>
        <v>0</v>
      </c>
      <c r="AC43" s="29"/>
    </row>
    <row r="44" spans="1:29">
      <c r="A44" s="20" t="str">
        <f>'伤害统计(理想)'!A44</f>
        <v>颠越苍穹击</v>
      </c>
      <c r="B44" s="20">
        <f>'伤害统计(理想)'!B44</f>
        <v>28</v>
      </c>
      <c r="C44" s="20">
        <f>'伤害统计(理想)'!C44</f>
        <v>0</v>
      </c>
      <c r="D44" s="20">
        <f>'伤害统计(理想)'!D44</f>
        <v>0</v>
      </c>
      <c r="E44" s="20">
        <f>'伤害统计(理想)'!E44</f>
        <v>100</v>
      </c>
      <c r="F44" s="20">
        <f>'伤害统计(理想)'!F44</f>
        <v>0</v>
      </c>
      <c r="G44" s="20">
        <f>'伤害统计(理想)'!G44</f>
        <v>0</v>
      </c>
      <c r="H44" s="20">
        <f>'伤害统计(理想)'!H44</f>
        <v>0</v>
      </c>
      <c r="I44" s="20">
        <f>'伤害统计(理想)'!I44</f>
        <v>40</v>
      </c>
      <c r="J44" s="20">
        <f>'伤害统计(理想)'!J44</f>
        <v>0</v>
      </c>
      <c r="K44" s="20">
        <f>'伤害统计(理想)'!K44</f>
        <v>168</v>
      </c>
      <c r="L44" s="20">
        <f>'伤害统计(理想)'!L44</f>
        <v>168</v>
      </c>
      <c r="M44" s="20">
        <f>'伤害统计(理想)'!M44</f>
        <v>168</v>
      </c>
      <c r="N44" s="20">
        <f>'伤害统计(理想)'!N44</f>
        <v>5</v>
      </c>
      <c r="O44" s="20" t="str">
        <f>'伤害统计(理想)'!O44</f>
        <v>六合</v>
      </c>
      <c r="P44" s="20">
        <f>'伤害统计(理想)'!P44</f>
        <v>93</v>
      </c>
      <c r="Q44" s="20">
        <f>'伤害统计(理想)'!Q44</f>
        <v>13289482</v>
      </c>
      <c r="R44" s="20">
        <f>'伤害统计(理想)'!R44</f>
        <v>0.0615319416123844</v>
      </c>
      <c r="S44" s="20">
        <f>'伤害统计(理想)'!S44</f>
        <v>0</v>
      </c>
      <c r="T44" s="20">
        <f>'伤害统计(理想)'!T44</f>
        <v>0</v>
      </c>
      <c r="U44" s="20">
        <f>'伤害统计(理想)'!U44</f>
        <v>0</v>
      </c>
      <c r="V44" s="20">
        <f>'伤害统计(理想)'!V44</f>
        <v>0</v>
      </c>
      <c r="W44" s="20">
        <f>'伤害统计(理想)'!W44</f>
        <v>0</v>
      </c>
      <c r="X44" s="20">
        <f>'伤害统计(理想)'!X44</f>
        <v>0</v>
      </c>
      <c r="Y44" s="20">
        <f>'伤害统计(理想)'!Y44</f>
        <v>0</v>
      </c>
      <c r="Z44" s="20">
        <f>'伤害统计(理想)'!Z44</f>
        <v>0</v>
      </c>
      <c r="AA44" s="20">
        <f>'伤害统计(理想)'!AA44</f>
        <v>0</v>
      </c>
      <c r="AB44" s="20">
        <f>'伤害统计(理想)'!AB44</f>
        <v>0</v>
      </c>
      <c r="AC44" s="29"/>
    </row>
    <row r="45" spans="1:29">
      <c r="A45" s="20" t="str">
        <f>'伤害统计(理想)'!A45</f>
        <v>五方行尽</v>
      </c>
      <c r="B45" s="20">
        <f>'伤害统计(理想)'!B45</f>
        <v>7</v>
      </c>
      <c r="C45" s="20">
        <f>'伤害统计(理想)'!C45</f>
        <v>0</v>
      </c>
      <c r="D45" s="20">
        <f>'伤害统计(理想)'!D45</f>
        <v>0</v>
      </c>
      <c r="E45" s="20">
        <f>'伤害统计(理想)'!E45</f>
        <v>0</v>
      </c>
      <c r="F45" s="20">
        <f>'伤害统计(理想)'!F45</f>
        <v>0</v>
      </c>
      <c r="G45" s="20">
        <f>'伤害统计(理想)'!G45</f>
        <v>0</v>
      </c>
      <c r="H45" s="20">
        <f>'伤害统计(理想)'!H45</f>
        <v>0</v>
      </c>
      <c r="I45" s="20">
        <f>'伤害统计(理想)'!I45</f>
        <v>0</v>
      </c>
      <c r="J45" s="20">
        <f>'伤害统计(理想)'!J45</f>
        <v>0</v>
      </c>
      <c r="K45" s="20">
        <f>'伤害统计(理想)'!K45</f>
        <v>7</v>
      </c>
      <c r="L45" s="20">
        <f>'伤害统计(理想)'!L45</f>
        <v>7</v>
      </c>
      <c r="M45" s="20">
        <f>'伤害统计(理想)'!M45</f>
        <v>0</v>
      </c>
      <c r="N45" s="20">
        <f>'伤害统计(理想)'!N45</f>
        <v>6</v>
      </c>
      <c r="O45" s="20" t="str">
        <f>'伤害统计(理想)'!O45</f>
        <v>四象</v>
      </c>
      <c r="P45" s="20">
        <f>'伤害统计(理想)'!P45</f>
        <v>65</v>
      </c>
      <c r="Q45" s="20">
        <f>'伤害统计(理想)'!Q45</f>
        <v>26849390</v>
      </c>
      <c r="R45" s="20">
        <f>'伤害统计(理想)'!R45</f>
        <v>0.124315988975954</v>
      </c>
      <c r="S45" s="20">
        <f>'伤害统计(理想)'!S45</f>
        <v>0</v>
      </c>
      <c r="T45" s="20">
        <f>'伤害统计(理想)'!T45</f>
        <v>0</v>
      </c>
      <c r="U45" s="20">
        <f>'伤害统计(理想)'!U45</f>
        <v>0</v>
      </c>
      <c r="V45" s="20">
        <f>'伤害统计(理想)'!V45</f>
        <v>0</v>
      </c>
      <c r="W45" s="20">
        <f>'伤害统计(理想)'!W45</f>
        <v>0</v>
      </c>
      <c r="X45" s="20">
        <f>'伤害统计(理想)'!X45</f>
        <v>0</v>
      </c>
      <c r="Y45" s="20">
        <f>'伤害统计(理想)'!Y45</f>
        <v>0</v>
      </c>
      <c r="Z45" s="20">
        <f>'伤害统计(理想)'!Z45</f>
        <v>0</v>
      </c>
      <c r="AA45" s="20">
        <f>'伤害统计(理想)'!AA45</f>
        <v>0</v>
      </c>
      <c r="AB45" s="20">
        <f>'伤害统计(理想)'!AB45</f>
        <v>0</v>
      </c>
      <c r="AC45" s="29"/>
    </row>
    <row r="46" spans="1:29">
      <c r="A46" s="20" t="str">
        <f>'伤害统计(理想)'!A46</f>
        <v>四象轮回</v>
      </c>
      <c r="B46" s="20">
        <f>'伤害统计(理想)'!B46</f>
        <v>42</v>
      </c>
      <c r="C46" s="20">
        <f>'伤害统计(理想)'!C46</f>
        <v>0</v>
      </c>
      <c r="D46" s="20">
        <f>'伤害统计(理想)'!D46</f>
        <v>5</v>
      </c>
      <c r="E46" s="20">
        <f>'伤害统计(理想)'!E46</f>
        <v>10</v>
      </c>
      <c r="F46" s="20">
        <f>'伤害统计(理想)'!F46</f>
        <v>2</v>
      </c>
      <c r="G46" s="20">
        <f>'伤害统计(理想)'!G46</f>
        <v>0</v>
      </c>
      <c r="H46" s="20">
        <f>'伤害统计(理想)'!H46</f>
        <v>2</v>
      </c>
      <c r="I46" s="20">
        <f>'伤害统计(理想)'!I46</f>
        <v>4</v>
      </c>
      <c r="J46" s="20">
        <f>'伤害统计(理想)'!J46</f>
        <v>0</v>
      </c>
      <c r="K46" s="20">
        <f>'伤害统计(理想)'!K46</f>
        <v>65</v>
      </c>
      <c r="L46" s="20">
        <f>'伤害统计(理想)'!L46</f>
        <v>65</v>
      </c>
      <c r="M46" s="20">
        <f>'伤害统计(理想)'!M46</f>
        <v>0</v>
      </c>
      <c r="N46" s="20">
        <f>'伤害统计(理想)'!N46</f>
        <v>7</v>
      </c>
      <c r="O46" s="20" t="str">
        <f>'伤害统计(理想)'!O46</f>
        <v>万世不竭</v>
      </c>
      <c r="P46" s="20">
        <f>'伤害统计(理想)'!P46</f>
        <v>7</v>
      </c>
      <c r="Q46" s="20">
        <f>'伤害统计(理想)'!Q46</f>
        <v>4554092</v>
      </c>
      <c r="R46" s="20">
        <f>'伤害统计(理想)'!R46</f>
        <v>0.0210860079453381</v>
      </c>
      <c r="S46" s="20">
        <f>'伤害统计(理想)'!S46</f>
        <v>0</v>
      </c>
      <c r="T46" s="20">
        <f>'伤害统计(理想)'!T46</f>
        <v>0</v>
      </c>
      <c r="U46" s="20">
        <f>'伤害统计(理想)'!U46</f>
        <v>0</v>
      </c>
      <c r="V46" s="20">
        <f>'伤害统计(理想)'!V46</f>
        <v>0</v>
      </c>
      <c r="W46" s="20">
        <f>'伤害统计(理想)'!W46</f>
        <v>0</v>
      </c>
      <c r="X46" s="20">
        <f>'伤害统计(理想)'!X46</f>
        <v>0</v>
      </c>
      <c r="Y46" s="20">
        <f>'伤害统计(理想)'!Y46</f>
        <v>0</v>
      </c>
      <c r="Z46" s="20">
        <f>'伤害统计(理想)'!Z46</f>
        <v>0</v>
      </c>
      <c r="AA46" s="20">
        <f>'伤害统计(理想)'!AA46</f>
        <v>0</v>
      </c>
      <c r="AB46" s="20">
        <f>'伤害统计(理想)'!AB46</f>
        <v>0</v>
      </c>
      <c r="AC46" s="32"/>
    </row>
    <row r="47" spans="1:29">
      <c r="A47" s="20" t="str">
        <f>'伤害统计(理想)'!A47</f>
        <v>两仪化形(5)</v>
      </c>
      <c r="B47" s="20">
        <f>'伤害统计(理想)'!B47</f>
        <v>42</v>
      </c>
      <c r="C47" s="20">
        <f>'伤害统计(理想)'!C47</f>
        <v>0</v>
      </c>
      <c r="D47" s="20">
        <f>'伤害统计(理想)'!D47</f>
        <v>5</v>
      </c>
      <c r="E47" s="20">
        <f>'伤害统计(理想)'!E47</f>
        <v>15</v>
      </c>
      <c r="F47" s="20">
        <f>'伤害统计(理想)'!F47</f>
        <v>2</v>
      </c>
      <c r="G47" s="20">
        <f>'伤害统计(理想)'!G47</f>
        <v>0</v>
      </c>
      <c r="H47" s="20">
        <f>'伤害统计(理想)'!H47</f>
        <v>2</v>
      </c>
      <c r="I47" s="20">
        <f>'伤害统计(理想)'!I47</f>
        <v>6</v>
      </c>
      <c r="J47" s="20">
        <f>'伤害统计(理想)'!J47</f>
        <v>0</v>
      </c>
      <c r="K47" s="20">
        <f>'伤害统计(理想)'!K47</f>
        <v>72</v>
      </c>
      <c r="L47" s="20">
        <f>'伤害统计(理想)'!L47</f>
        <v>84</v>
      </c>
      <c r="M47" s="20">
        <f>'伤害统计(理想)'!M47</f>
        <v>30</v>
      </c>
      <c r="N47" s="20">
        <f>'伤害统计(理想)'!N47</f>
        <v>8</v>
      </c>
      <c r="O47" s="20" t="str">
        <f>'伤害统计(理想)'!O47</f>
        <v>空啸太玄剑</v>
      </c>
      <c r="P47" s="20">
        <f>'伤害统计(理想)'!P47</f>
        <v>0</v>
      </c>
      <c r="Q47" s="20">
        <f>'伤害统计(理想)'!Q47</f>
        <v>0</v>
      </c>
      <c r="R47" s="20">
        <f>'伤害统计(理想)'!R47</f>
        <v>0</v>
      </c>
      <c r="S47" s="20">
        <f>'伤害统计(理想)'!S47</f>
        <v>0</v>
      </c>
      <c r="T47" s="20">
        <f>'伤害统计(理想)'!T47</f>
        <v>0</v>
      </c>
      <c r="U47" s="20">
        <f>'伤害统计(理想)'!U47</f>
        <v>0</v>
      </c>
      <c r="V47" s="20">
        <f>'伤害统计(理想)'!V47</f>
        <v>0</v>
      </c>
      <c r="W47" s="20">
        <f>'伤害统计(理想)'!W47</f>
        <v>0</v>
      </c>
      <c r="X47" s="20">
        <f>'伤害统计(理想)'!X47</f>
        <v>0</v>
      </c>
      <c r="Y47" s="20">
        <f>'伤害统计(理想)'!Y47</f>
        <v>0</v>
      </c>
      <c r="Z47" s="20">
        <f>'伤害统计(理想)'!Z47</f>
        <v>0</v>
      </c>
      <c r="AA47" s="20">
        <f>'伤害统计(理想)'!AA47</f>
        <v>0</v>
      </c>
      <c r="AB47" s="20">
        <f>'伤害统计(理想)'!AB47</f>
        <v>0</v>
      </c>
      <c r="AC47" s="29"/>
    </row>
    <row r="48" spans="1:29">
      <c r="A48" s="20" t="str">
        <f>'伤害统计(理想)'!A48</f>
        <v>两仪化形(4</v>
      </c>
      <c r="B48" s="20">
        <f>'伤害统计(理想)'!B48</f>
        <v>12</v>
      </c>
      <c r="C48" s="20">
        <f>'伤害统计(理想)'!C48</f>
        <v>0</v>
      </c>
      <c r="D48" s="20">
        <f>'伤害统计(理想)'!D48</f>
        <v>0</v>
      </c>
      <c r="E48" s="20">
        <f>'伤害统计(理想)'!E48</f>
        <v>0</v>
      </c>
      <c r="F48" s="20">
        <f>'伤害统计(理想)'!F48</f>
        <v>0</v>
      </c>
      <c r="G48" s="20">
        <f>'伤害统计(理想)'!G48</f>
        <v>0</v>
      </c>
      <c r="H48" s="20">
        <f>'伤害统计(理想)'!H48</f>
        <v>0</v>
      </c>
      <c r="I48" s="20">
        <f>'伤害统计(理想)'!I48</f>
        <v>0</v>
      </c>
      <c r="J48" s="20">
        <f>'伤害统计(理想)'!J48</f>
        <v>0</v>
      </c>
      <c r="K48" s="20">
        <f>'伤害统计(理想)'!K48</f>
        <v>12</v>
      </c>
      <c r="L48" s="20">
        <f>'伤害统计(理想)'!L48</f>
        <v>0</v>
      </c>
      <c r="M48" s="20">
        <f>'伤害统计(理想)'!M48</f>
        <v>0</v>
      </c>
      <c r="N48" s="20">
        <f>'伤害统计(理想)'!N48</f>
        <v>9</v>
      </c>
      <c r="O48" s="20" t="str">
        <f>'伤害统计(理想)'!O48</f>
        <v>白鹤舒翅</v>
      </c>
      <c r="P48" s="20">
        <f>'伤害统计(理想)'!P48</f>
        <v>0</v>
      </c>
      <c r="Q48" s="20">
        <f>'伤害统计(理想)'!Q48</f>
        <v>0</v>
      </c>
      <c r="R48" s="20">
        <f>'伤害统计(理想)'!R48</f>
        <v>0</v>
      </c>
      <c r="S48" s="20">
        <f>'伤害统计(理想)'!S48</f>
        <v>0</v>
      </c>
      <c r="T48" s="20">
        <f>'伤害统计(理想)'!T48</f>
        <v>0</v>
      </c>
      <c r="U48" s="20">
        <f>'伤害统计(理想)'!U48</f>
        <v>0</v>
      </c>
      <c r="V48" s="20">
        <f>'伤害统计(理想)'!V48</f>
        <v>0</v>
      </c>
      <c r="W48" s="20">
        <f>'伤害统计(理想)'!W48</f>
        <v>0</v>
      </c>
      <c r="X48" s="20">
        <f>'伤害统计(理想)'!X48</f>
        <v>0</v>
      </c>
      <c r="Y48" s="20">
        <f>'伤害统计(理想)'!Y48</f>
        <v>0</v>
      </c>
      <c r="Z48" s="20">
        <f>'伤害统计(理想)'!Z48</f>
        <v>0</v>
      </c>
      <c r="AA48" s="20">
        <f>'伤害统计(理想)'!AA48</f>
        <v>0</v>
      </c>
      <c r="AB48" s="20">
        <f>'伤害统计(理想)'!AB48</f>
        <v>0</v>
      </c>
      <c r="AC48" s="29"/>
    </row>
    <row r="49" ht="17.25" spans="1:39">
      <c r="A49" s="20" t="str">
        <f>'伤害统计(理想)'!A49</f>
        <v>两仪化形(3.5</v>
      </c>
      <c r="B49" s="20">
        <f>'伤害统计(理想)'!B49</f>
        <v>0</v>
      </c>
      <c r="C49" s="20">
        <f>'伤害统计(理想)'!C49</f>
        <v>0</v>
      </c>
      <c r="D49" s="20">
        <f>'伤害统计(理想)'!D49</f>
        <v>0</v>
      </c>
      <c r="E49" s="20">
        <f>'伤害统计(理想)'!E49</f>
        <v>0</v>
      </c>
      <c r="F49" s="20">
        <f>'伤害统计(理想)'!F49</f>
        <v>0</v>
      </c>
      <c r="G49" s="20">
        <f>'伤害统计(理想)'!G49</f>
        <v>0</v>
      </c>
      <c r="H49" s="20">
        <f>'伤害统计(理想)'!H49</f>
        <v>0</v>
      </c>
      <c r="I49" s="20">
        <f>'伤害统计(理想)'!I49</f>
        <v>0</v>
      </c>
      <c r="J49" s="20">
        <f>'伤害统计(理想)'!J49</f>
        <v>0</v>
      </c>
      <c r="K49" s="20">
        <f>'伤害统计(理想)'!K49</f>
        <v>0</v>
      </c>
      <c r="L49" s="20">
        <f>'伤害统计(理想)'!L49</f>
        <v>0</v>
      </c>
      <c r="M49" s="20">
        <f>'伤害统计(理想)'!M49</f>
        <v>0</v>
      </c>
      <c r="N49" s="20">
        <f>'伤害统计(理想)'!N49</f>
        <v>10</v>
      </c>
      <c r="O49" s="20" t="str">
        <f>'伤害统计(理想)'!O49</f>
        <v>厚亡</v>
      </c>
      <c r="P49" s="20">
        <f>'伤害统计(理想)'!P49</f>
        <v>0</v>
      </c>
      <c r="Q49" s="20">
        <f>'伤害统计(理想)'!Q49</f>
        <v>0</v>
      </c>
      <c r="R49" s="20">
        <f>'伤害统计(理想)'!R49</f>
        <v>0</v>
      </c>
      <c r="S49" s="20">
        <f>'伤害统计(理想)'!S49</f>
        <v>0</v>
      </c>
      <c r="T49" s="20">
        <f>'伤害统计(理想)'!T49</f>
        <v>0</v>
      </c>
      <c r="U49" s="20">
        <f>'伤害统计(理想)'!U49</f>
        <v>0</v>
      </c>
      <c r="V49" s="20">
        <f>'伤害统计(理想)'!V49</f>
        <v>0</v>
      </c>
      <c r="W49" s="20">
        <f>'伤害统计(理想)'!W49</f>
        <v>0</v>
      </c>
      <c r="X49" s="20">
        <f>'伤害统计(理想)'!X49</f>
        <v>0</v>
      </c>
      <c r="Y49" s="20">
        <f>'伤害统计(理想)'!Y49</f>
        <v>0</v>
      </c>
      <c r="Z49" s="20">
        <f>'伤害统计(理想)'!Z49</f>
        <v>0</v>
      </c>
      <c r="AA49" s="20">
        <f>'伤害统计(理想)'!AA49</f>
        <v>0</v>
      </c>
      <c r="AB49" s="20">
        <f>'伤害统计(理想)'!AB49</f>
        <v>0</v>
      </c>
      <c r="AC49" s="29"/>
      <c r="AE49" s="33"/>
      <c r="AF49" s="33"/>
      <c r="AG49" s="33"/>
      <c r="AH49" s="34"/>
      <c r="AI49" s="34"/>
      <c r="AJ49" s="34"/>
      <c r="AK49" s="34"/>
      <c r="AL49" s="34"/>
      <c r="AM49" s="34"/>
    </row>
    <row r="50" spans="1:29">
      <c r="A50" s="20" t="str">
        <f>'伤害统计(理想)'!A50</f>
        <v>六合1</v>
      </c>
      <c r="B50" s="20">
        <f>'伤害统计(理想)'!B50</f>
        <v>13</v>
      </c>
      <c r="C50" s="20">
        <f>'伤害统计(理想)'!C50</f>
        <v>0</v>
      </c>
      <c r="D50" s="20">
        <f>'伤害统计(理想)'!D50</f>
        <v>0</v>
      </c>
      <c r="E50" s="20">
        <f>'伤害统计(理想)'!E50</f>
        <v>0</v>
      </c>
      <c r="F50" s="20">
        <f>'伤害统计(理想)'!F50</f>
        <v>0</v>
      </c>
      <c r="G50" s="20">
        <f>'伤害统计(理想)'!G50</f>
        <v>0</v>
      </c>
      <c r="H50" s="20">
        <f>'伤害统计(理想)'!H50</f>
        <v>0</v>
      </c>
      <c r="I50" s="20">
        <f>'伤害统计(理想)'!I50</f>
        <v>0</v>
      </c>
      <c r="J50" s="20">
        <f>'伤害统计(理想)'!J50</f>
        <v>28</v>
      </c>
      <c r="K50" s="20">
        <f>'伤害统计(理想)'!K50</f>
        <v>41</v>
      </c>
      <c r="L50" s="20">
        <f>'伤害统计(理想)'!L50</f>
        <v>93</v>
      </c>
      <c r="M50" s="20">
        <f>'伤害统计(理想)'!M50</f>
        <v>65</v>
      </c>
      <c r="N50" s="20">
        <f>'伤害统计(理想)'!N50</f>
        <v>11</v>
      </c>
      <c r="O50" s="20" t="str">
        <f>'伤害统计(理想)'!O50</f>
        <v>昆吾·弦刃</v>
      </c>
      <c r="P50" s="20">
        <f>'伤害统计(理想)'!P50</f>
        <v>16</v>
      </c>
      <c r="Q50" s="20">
        <f>'伤害统计(理想)'!Q50</f>
        <v>810667</v>
      </c>
      <c r="R50" s="20">
        <f>'伤害统计(理想)'!R50</f>
        <v>0.00375348824815646</v>
      </c>
      <c r="S50" s="20">
        <f>'伤害统计(理想)'!S50</f>
        <v>0</v>
      </c>
      <c r="T50" s="20">
        <f>'伤害统计(理想)'!T50</f>
        <v>0</v>
      </c>
      <c r="U50" s="20">
        <f>'伤害统计(理想)'!U50</f>
        <v>0</v>
      </c>
      <c r="V50" s="20">
        <f>'伤害统计(理想)'!V50</f>
        <v>0</v>
      </c>
      <c r="W50" s="20">
        <f>'伤害统计(理想)'!W50</f>
        <v>0</v>
      </c>
      <c r="X50" s="20">
        <f>'伤害统计(理想)'!X50</f>
        <v>0</v>
      </c>
      <c r="Y50" s="20">
        <f>'伤害统计(理想)'!Y50</f>
        <v>0</v>
      </c>
      <c r="Z50" s="20">
        <f>'伤害统计(理想)'!Z50</f>
        <v>0</v>
      </c>
      <c r="AA50" s="20">
        <f>'伤害统计(理想)'!AA50</f>
        <v>0</v>
      </c>
      <c r="AB50" s="20">
        <f>'伤害统计(理想)'!AB50</f>
        <v>0</v>
      </c>
      <c r="AC50" s="29"/>
    </row>
    <row r="51" spans="1:31">
      <c r="A51" s="20" t="str">
        <f>'伤害统计(理想)'!A51</f>
        <v>六合2</v>
      </c>
      <c r="B51" s="20">
        <f>'伤害统计(理想)'!B51</f>
        <v>6</v>
      </c>
      <c r="C51" s="20">
        <f>'伤害统计(理想)'!C51</f>
        <v>0</v>
      </c>
      <c r="D51" s="20">
        <f>'伤害统计(理想)'!D51</f>
        <v>0</v>
      </c>
      <c r="E51" s="20">
        <f>'伤害统计(理想)'!E51</f>
        <v>5</v>
      </c>
      <c r="F51" s="20">
        <f>'伤害统计(理想)'!F51</f>
        <v>0</v>
      </c>
      <c r="G51" s="20">
        <f>'伤害统计(理想)'!G51</f>
        <v>0</v>
      </c>
      <c r="H51" s="20">
        <f>'伤害统计(理想)'!H51</f>
        <v>0</v>
      </c>
      <c r="I51" s="20">
        <f>'伤害统计(理想)'!I51</f>
        <v>2</v>
      </c>
      <c r="J51" s="20">
        <f>'伤害统计(理想)'!J51</f>
        <v>0</v>
      </c>
      <c r="K51" s="20">
        <f>'伤害统计(理想)'!K51</f>
        <v>13</v>
      </c>
      <c r="L51" s="20">
        <f>'伤害统计(理想)'!L51</f>
        <v>0</v>
      </c>
      <c r="M51" s="20">
        <f>'伤害统计(理想)'!M51</f>
        <v>0</v>
      </c>
      <c r="N51" s="20">
        <f>'伤害统计(理想)'!N51</f>
        <v>12</v>
      </c>
      <c r="O51" s="20" t="str">
        <f>'伤害统计(理想)'!O51</f>
        <v>空啸太玄剑·定</v>
      </c>
      <c r="P51" s="20">
        <f>'伤害统计(理想)'!P51</f>
        <v>0</v>
      </c>
      <c r="Q51" s="20">
        <f>'伤害统计(理想)'!Q51</f>
        <v>0</v>
      </c>
      <c r="R51" s="20">
        <f>'伤害统计(理想)'!R51</f>
        <v>0</v>
      </c>
      <c r="S51" s="20">
        <f>'伤害统计(理想)'!S51</f>
        <v>0</v>
      </c>
      <c r="T51" s="20">
        <f>'伤害统计(理想)'!T51</f>
        <v>0</v>
      </c>
      <c r="U51" s="20">
        <f>'伤害统计(理想)'!U51</f>
        <v>0</v>
      </c>
      <c r="V51" s="20">
        <f>'伤害统计(理想)'!V51</f>
        <v>0</v>
      </c>
      <c r="W51" s="20">
        <f>'伤害统计(理想)'!W51</f>
        <v>0</v>
      </c>
      <c r="X51" s="20">
        <f>'伤害统计(理想)'!X51</f>
        <v>0</v>
      </c>
      <c r="Y51" s="20">
        <f>'伤害统计(理想)'!Y51</f>
        <v>0</v>
      </c>
      <c r="Z51" s="20">
        <f>'伤害统计(理想)'!Z51</f>
        <v>0</v>
      </c>
      <c r="AA51" s="20">
        <f>'伤害统计(理想)'!AA51</f>
        <v>0</v>
      </c>
      <c r="AB51" s="20">
        <f>'伤害统计(理想)'!AB51</f>
        <v>0</v>
      </c>
      <c r="AC51" s="29"/>
      <c r="AE51" s="33"/>
    </row>
    <row r="52" spans="1:29">
      <c r="A52" s="20" t="str">
        <f>'伤害统计(理想)'!A52</f>
        <v>六合3</v>
      </c>
      <c r="B52" s="20">
        <f>'伤害统计(理想)'!B52</f>
        <v>6</v>
      </c>
      <c r="C52" s="20">
        <f>'伤害统计(理想)'!C52</f>
        <v>0</v>
      </c>
      <c r="D52" s="20">
        <f>'伤害统计(理想)'!D52</f>
        <v>0</v>
      </c>
      <c r="E52" s="20">
        <f>'伤害统计(理想)'!E52</f>
        <v>5</v>
      </c>
      <c r="F52" s="20">
        <f>'伤害统计(理想)'!F52</f>
        <v>0</v>
      </c>
      <c r="G52" s="20">
        <f>'伤害统计(理想)'!G52</f>
        <v>0</v>
      </c>
      <c r="H52" s="20">
        <f>'伤害统计(理想)'!H52</f>
        <v>0</v>
      </c>
      <c r="I52" s="20">
        <f>'伤害统计(理想)'!I52</f>
        <v>2</v>
      </c>
      <c r="J52" s="20">
        <f>'伤害统计(理想)'!J52</f>
        <v>0</v>
      </c>
      <c r="K52" s="20">
        <f>'伤害统计(理想)'!K52</f>
        <v>13</v>
      </c>
      <c r="L52" s="20">
        <f>'伤害统计(理想)'!L52</f>
        <v>0</v>
      </c>
      <c r="M52" s="20">
        <f>'伤害统计(理想)'!M52</f>
        <v>0</v>
      </c>
      <c r="N52" s="20">
        <f>'伤害统计(理想)'!N52</f>
        <v>13</v>
      </c>
      <c r="O52" s="20" t="str">
        <f>'伤害统计(理想)'!O52</f>
        <v>刃凌</v>
      </c>
      <c r="P52" s="20">
        <f>'伤害统计(理想)'!P52</f>
        <v>23</v>
      </c>
      <c r="Q52" s="20">
        <f>'伤害统计(理想)'!Q52</f>
        <v>732384</v>
      </c>
      <c r="R52" s="20">
        <f>'伤害统计(理想)'!R52</f>
        <v>0.00339102829785575</v>
      </c>
      <c r="S52" s="20">
        <f>'伤害统计(理想)'!S52</f>
        <v>0</v>
      </c>
      <c r="T52" s="20">
        <f>'伤害统计(理想)'!T52</f>
        <v>0</v>
      </c>
      <c r="U52" s="20">
        <f>'伤害统计(理想)'!U52</f>
        <v>0</v>
      </c>
      <c r="V52" s="20">
        <f>'伤害统计(理想)'!V52</f>
        <v>0</v>
      </c>
      <c r="W52" s="20">
        <f>'伤害统计(理想)'!W52</f>
        <v>0</v>
      </c>
      <c r="X52" s="20">
        <f>'伤害统计(理想)'!X52</f>
        <v>0</v>
      </c>
      <c r="Y52" s="20">
        <f>'伤害统计(理想)'!Y52</f>
        <v>0</v>
      </c>
      <c r="Z52" s="20">
        <f>'伤害统计(理想)'!Z52</f>
        <v>0</v>
      </c>
      <c r="AA52" s="20">
        <f>'伤害统计(理想)'!AA52</f>
        <v>0</v>
      </c>
      <c r="AB52" s="20">
        <f>'伤害统计(理想)'!AB52</f>
        <v>0</v>
      </c>
      <c r="AC52" s="29"/>
    </row>
    <row r="53" spans="1:31">
      <c r="A53" s="20" t="str">
        <f>'伤害统计(理想)'!A53</f>
        <v>六合4</v>
      </c>
      <c r="B53" s="20">
        <f>'伤害统计(理想)'!B53</f>
        <v>6</v>
      </c>
      <c r="C53" s="20">
        <f>'伤害统计(理想)'!C53</f>
        <v>0</v>
      </c>
      <c r="D53" s="20">
        <f>'伤害统计(理想)'!D53</f>
        <v>0</v>
      </c>
      <c r="E53" s="20">
        <f>'伤害统计(理想)'!E53</f>
        <v>5</v>
      </c>
      <c r="F53" s="20">
        <f>'伤害统计(理想)'!F53</f>
        <v>0</v>
      </c>
      <c r="G53" s="20">
        <f>'伤害统计(理想)'!G53</f>
        <v>0</v>
      </c>
      <c r="H53" s="20">
        <f>'伤害统计(理想)'!H53</f>
        <v>0</v>
      </c>
      <c r="I53" s="20">
        <f>'伤害统计(理想)'!I53</f>
        <v>2</v>
      </c>
      <c r="J53" s="20">
        <f>'伤害统计(理想)'!J53</f>
        <v>0</v>
      </c>
      <c r="K53" s="20">
        <f>'伤害统计(理想)'!K53</f>
        <v>13</v>
      </c>
      <c r="L53" s="20">
        <f>'伤害统计(理想)'!L53</f>
        <v>0</v>
      </c>
      <c r="M53" s="20">
        <f>'伤害统计(理想)'!M53</f>
        <v>0</v>
      </c>
      <c r="N53" s="20">
        <f>'伤害统计(理想)'!N53</f>
        <v>14</v>
      </c>
      <c r="O53" s="20" t="str">
        <f>'伤害统计(理想)'!O53</f>
        <v>五方行尽</v>
      </c>
      <c r="P53" s="20">
        <f>'伤害统计(理想)'!P53</f>
        <v>7</v>
      </c>
      <c r="Q53" s="20">
        <f>'伤害统计(理想)'!Q53</f>
        <v>370682</v>
      </c>
      <c r="R53" s="20">
        <f>'伤害统计(理想)'!R53</f>
        <v>0.00171630340300411</v>
      </c>
      <c r="S53" s="20">
        <f>'伤害统计(理想)'!S53</f>
        <v>0</v>
      </c>
      <c r="T53" s="20">
        <f>'伤害统计(理想)'!T53</f>
        <v>0</v>
      </c>
      <c r="U53" s="20">
        <f>'伤害统计(理想)'!U53</f>
        <v>0</v>
      </c>
      <c r="V53" s="20">
        <f>'伤害统计(理想)'!V53</f>
        <v>0</v>
      </c>
      <c r="W53" s="20">
        <f>'伤害统计(理想)'!W53</f>
        <v>0</v>
      </c>
      <c r="X53" s="20">
        <f>'伤害统计(理想)'!X53</f>
        <v>0</v>
      </c>
      <c r="Y53" s="20">
        <f>'伤害统计(理想)'!Y53</f>
        <v>0</v>
      </c>
      <c r="Z53" s="20">
        <f>'伤害统计(理想)'!Z53</f>
        <v>0</v>
      </c>
      <c r="AA53" s="20">
        <f>'伤害统计(理想)'!AA53</f>
        <v>0</v>
      </c>
      <c r="AB53" s="20">
        <f>'伤害统计(理想)'!AB53</f>
        <v>0</v>
      </c>
      <c r="AC53" s="29"/>
      <c r="AE53" s="33"/>
    </row>
    <row r="54" spans="1:29">
      <c r="A54" s="20" t="str">
        <f>'伤害统计(理想)'!A54</f>
        <v>六合5</v>
      </c>
      <c r="B54" s="20">
        <f>'伤害统计(理想)'!B54</f>
        <v>6</v>
      </c>
      <c r="C54" s="20">
        <f>'伤害统计(理想)'!C54</f>
        <v>0</v>
      </c>
      <c r="D54" s="20">
        <f>'伤害统计(理想)'!D54</f>
        <v>0</v>
      </c>
      <c r="E54" s="20">
        <f>'伤害统计(理想)'!E54</f>
        <v>5</v>
      </c>
      <c r="F54" s="20">
        <f>'伤害统计(理想)'!F54</f>
        <v>0</v>
      </c>
      <c r="G54" s="20">
        <f>'伤害统计(理想)'!G54</f>
        <v>0</v>
      </c>
      <c r="H54" s="20">
        <f>'伤害统计(理想)'!H54</f>
        <v>0</v>
      </c>
      <c r="I54" s="20">
        <f>'伤害统计(理想)'!I54</f>
        <v>2</v>
      </c>
      <c r="J54" s="20">
        <f>'伤害统计(理想)'!J54</f>
        <v>0</v>
      </c>
      <c r="K54" s="20">
        <f>'伤害统计(理想)'!K54</f>
        <v>13</v>
      </c>
      <c r="L54" s="20">
        <f>'伤害统计(理想)'!L54</f>
        <v>0</v>
      </c>
      <c r="M54" s="20">
        <f>'伤害统计(理想)'!M54</f>
        <v>0</v>
      </c>
      <c r="N54" s="20">
        <f>'伤害统计(理想)'!N54</f>
        <v>15</v>
      </c>
      <c r="O54" s="20" t="str">
        <f>'伤害统计(理想)'!O54</f>
        <v>三才化生</v>
      </c>
      <c r="P54" s="20">
        <f>'伤害统计(理想)'!P54</f>
        <v>14</v>
      </c>
      <c r="Q54" s="20">
        <f>'伤害统计(理想)'!Q54</f>
        <v>110917</v>
      </c>
      <c r="R54" s="20">
        <f>'伤害统计(理想)'!R54</f>
        <v>0.000513559397410738</v>
      </c>
      <c r="S54" s="20">
        <f>'伤害统计(理想)'!S54</f>
        <v>0</v>
      </c>
      <c r="T54" s="20">
        <f>'伤害统计(理想)'!T54</f>
        <v>0</v>
      </c>
      <c r="U54" s="20">
        <f>'伤害统计(理想)'!U54</f>
        <v>0</v>
      </c>
      <c r="V54" s="20">
        <f>'伤害统计(理想)'!V54</f>
        <v>0</v>
      </c>
      <c r="W54" s="20">
        <f>'伤害统计(理想)'!W54</f>
        <v>0</v>
      </c>
      <c r="X54" s="20">
        <f>'伤害统计(理想)'!X54</f>
        <v>0</v>
      </c>
      <c r="Y54" s="20">
        <f>'伤害统计(理想)'!Y54</f>
        <v>0</v>
      </c>
      <c r="Z54" s="20">
        <f>'伤害统计(理想)'!Z54</f>
        <v>0</v>
      </c>
      <c r="AA54" s="20">
        <f>'伤害统计(理想)'!AA54</f>
        <v>0</v>
      </c>
      <c r="AB54" s="20">
        <f>'伤害统计(理想)'!AB54</f>
        <v>0</v>
      </c>
      <c r="AC54" s="29"/>
    </row>
    <row r="55" spans="1:31">
      <c r="A55" s="20" t="str">
        <f>'伤害统计(理想)'!A55</f>
        <v>破</v>
      </c>
      <c r="B55" s="20">
        <f>'伤害统计(理想)'!B55</f>
        <v>54</v>
      </c>
      <c r="C55" s="20">
        <f>'伤害统计(理想)'!C55</f>
        <v>0</v>
      </c>
      <c r="D55" s="20">
        <f>'伤害统计(理想)'!D55</f>
        <v>5</v>
      </c>
      <c r="E55" s="20">
        <f>'伤害统计(理想)'!E55</f>
        <v>15</v>
      </c>
      <c r="F55" s="20">
        <f>'伤害统计(理想)'!F55</f>
        <v>2</v>
      </c>
      <c r="G55" s="20">
        <f>'伤害统计(理想)'!G55</f>
        <v>0</v>
      </c>
      <c r="H55" s="20">
        <f>'伤害统计(理想)'!H55</f>
        <v>2</v>
      </c>
      <c r="I55" s="20">
        <f>'伤害统计(理想)'!I55</f>
        <v>6</v>
      </c>
      <c r="J55" s="20">
        <f>'伤害统计(理想)'!J55</f>
        <v>0</v>
      </c>
      <c r="K55" s="20">
        <f>'伤害统计(理想)'!K55</f>
        <v>84</v>
      </c>
      <c r="L55" s="20">
        <f>'伤害统计(理想)'!L55</f>
        <v>91</v>
      </c>
      <c r="M55" s="20">
        <f>'伤害统计(理想)'!M55</f>
        <v>0</v>
      </c>
      <c r="N55" s="20">
        <f>'伤害统计(理想)'!N55</f>
        <v>16</v>
      </c>
      <c r="O55" s="20" t="str">
        <f>'伤害统计(理想)'!O55</f>
        <v>气竭(DOT)</v>
      </c>
      <c r="P55" s="20">
        <f>'伤害统计(理想)'!P55</f>
        <v>0</v>
      </c>
      <c r="Q55" s="20">
        <f>'伤害统计(理想)'!Q55</f>
        <v>0</v>
      </c>
      <c r="R55" s="20">
        <f>'伤害统计(理想)'!R55</f>
        <v>0</v>
      </c>
      <c r="S55" s="20">
        <f>'伤害统计(理想)'!S55</f>
        <v>0</v>
      </c>
      <c r="T55" s="20">
        <f>'伤害统计(理想)'!T55</f>
        <v>0</v>
      </c>
      <c r="U55" s="20">
        <f>'伤害统计(理想)'!U55</f>
        <v>0</v>
      </c>
      <c r="V55" s="20">
        <f>'伤害统计(理想)'!V55</f>
        <v>0</v>
      </c>
      <c r="W55" s="20">
        <f>'伤害统计(理想)'!W55</f>
        <v>0</v>
      </c>
      <c r="X55" s="20">
        <f>'伤害统计(理想)'!X55</f>
        <v>0</v>
      </c>
      <c r="Y55" s="20">
        <f>'伤害统计(理想)'!Y55</f>
        <v>0</v>
      </c>
      <c r="Z55" s="20">
        <f>'伤害统计(理想)'!Z55</f>
        <v>0</v>
      </c>
      <c r="AA55" s="20">
        <f>'伤害统计(理想)'!AA55</f>
        <v>0</v>
      </c>
      <c r="AB55" s="20">
        <f>'伤害统计(理想)'!AB55</f>
        <v>0</v>
      </c>
      <c r="AC55" s="29"/>
      <c r="AE55" s="33"/>
    </row>
    <row r="56" spans="1:29">
      <c r="A56" s="20" t="str">
        <f>'伤害统计(理想)'!A56</f>
        <v>破(4</v>
      </c>
      <c r="B56" s="20">
        <f>'伤害统计(理想)'!B56</f>
        <v>0</v>
      </c>
      <c r="C56" s="20">
        <f>'伤害统计(理想)'!C56</f>
        <v>0</v>
      </c>
      <c r="D56" s="20">
        <f>'伤害统计(理想)'!D56</f>
        <v>0</v>
      </c>
      <c r="E56" s="20">
        <f>'伤害统计(理想)'!E56</f>
        <v>0</v>
      </c>
      <c r="F56" s="20">
        <f>'伤害统计(理想)'!F56</f>
        <v>0</v>
      </c>
      <c r="G56" s="20">
        <f>'伤害统计(理想)'!G56</f>
        <v>0</v>
      </c>
      <c r="H56" s="20">
        <f>'伤害统计(理想)'!H56</f>
        <v>0</v>
      </c>
      <c r="I56" s="20">
        <f>'伤害统计(理想)'!I56</f>
        <v>0</v>
      </c>
      <c r="J56" s="20">
        <f>'伤害统计(理想)'!J56</f>
        <v>0</v>
      </c>
      <c r="K56" s="20">
        <f>'伤害统计(理想)'!K56</f>
        <v>0</v>
      </c>
      <c r="L56" s="20">
        <f>'伤害统计(理想)'!L56</f>
        <v>0</v>
      </c>
      <c r="M56" s="20">
        <f>'伤害统计(理想)'!M56</f>
        <v>0</v>
      </c>
      <c r="N56" s="20">
        <f>'伤害统计(理想)'!N56</f>
        <v>17</v>
      </c>
      <c r="O56" s="20" t="str">
        <f>'伤害统计(理想)'!O56</f>
        <v>星辰</v>
      </c>
      <c r="P56" s="20">
        <f>'伤害统计(理想)'!P56</f>
        <v>0</v>
      </c>
      <c r="Q56" s="20">
        <f>'伤害统计(理想)'!Q56</f>
        <v>0</v>
      </c>
      <c r="R56" s="20">
        <f>'伤害统计(理想)'!R56</f>
        <v>0</v>
      </c>
      <c r="S56" s="20">
        <f>'伤害统计(理想)'!S56</f>
        <v>0</v>
      </c>
      <c r="T56" s="20">
        <f>'伤害统计(理想)'!T56</f>
        <v>0</v>
      </c>
      <c r="U56" s="20">
        <f>'伤害统计(理想)'!U56</f>
        <v>0</v>
      </c>
      <c r="V56" s="20">
        <f>'伤害统计(理想)'!V56</f>
        <v>0</v>
      </c>
      <c r="W56" s="20">
        <f>'伤害统计(理想)'!W56</f>
        <v>0</v>
      </c>
      <c r="X56" s="20">
        <f>'伤害统计(理想)'!X56</f>
        <v>0</v>
      </c>
      <c r="Y56" s="20">
        <f>'伤害统计(理想)'!Y56</f>
        <v>0</v>
      </c>
      <c r="Z56" s="20">
        <f>'伤害统计(理想)'!Z56</f>
        <v>0</v>
      </c>
      <c r="AA56" s="20">
        <f>'伤害统计(理想)'!AA56</f>
        <v>0</v>
      </c>
      <c r="AB56" s="20">
        <f>'伤害统计(理想)'!AB56</f>
        <v>0</v>
      </c>
      <c r="AC56" s="29"/>
    </row>
    <row r="57" spans="1:29">
      <c r="A57" s="20" t="str">
        <f>'伤害统计(理想)'!A57</f>
        <v>破(万世二段</v>
      </c>
      <c r="B57" s="20">
        <f>'伤害统计(理想)'!B57</f>
        <v>7</v>
      </c>
      <c r="C57" s="20">
        <f>'伤害统计(理想)'!C57</f>
        <v>0</v>
      </c>
      <c r="D57" s="20">
        <f>'伤害统计(理想)'!D57</f>
        <v>0</v>
      </c>
      <c r="E57" s="20">
        <f>'伤害统计(理想)'!E57</f>
        <v>0</v>
      </c>
      <c r="F57" s="20">
        <f>'伤害统计(理想)'!F57</f>
        <v>0</v>
      </c>
      <c r="G57" s="20">
        <f>'伤害统计(理想)'!G57</f>
        <v>0</v>
      </c>
      <c r="H57" s="20">
        <f>'伤害统计(理想)'!H57</f>
        <v>0</v>
      </c>
      <c r="I57" s="20">
        <f>'伤害统计(理想)'!I57</f>
        <v>0</v>
      </c>
      <c r="J57" s="20">
        <f>'伤害统计(理想)'!J57</f>
        <v>0</v>
      </c>
      <c r="K57" s="20">
        <f>'伤害统计(理想)'!K57</f>
        <v>7</v>
      </c>
      <c r="L57" s="20">
        <f>'伤害统计(理想)'!L57</f>
        <v>0</v>
      </c>
      <c r="M57" s="20">
        <f>'伤害统计(理想)'!M57</f>
        <v>0</v>
      </c>
      <c r="N57" s="20">
        <f>'伤害统计(理想)'!N57</f>
        <v>18</v>
      </c>
      <c r="O57" s="20" t="str">
        <f>'伤害统计(理想)'!O57</f>
        <v>四象轮回·神兵</v>
      </c>
      <c r="P57" s="20">
        <f>'伤害统计(理想)'!P57</f>
        <v>0</v>
      </c>
      <c r="Q57" s="20">
        <f>'伤害统计(理想)'!Q57</f>
        <v>0</v>
      </c>
      <c r="R57" s="20">
        <f>'伤害统计(理想)'!R57</f>
        <v>0</v>
      </c>
      <c r="S57" s="20">
        <f>'伤害统计(理想)'!S57</f>
        <v>0</v>
      </c>
      <c r="T57" s="20">
        <f>'伤害统计(理想)'!T57</f>
        <v>0</v>
      </c>
      <c r="U57" s="20">
        <f>'伤害统计(理想)'!U57</f>
        <v>0</v>
      </c>
      <c r="V57" s="20">
        <f>'伤害统计(理想)'!V57</f>
        <v>0</v>
      </c>
      <c r="W57" s="20">
        <f>'伤害统计(理想)'!W57</f>
        <v>0</v>
      </c>
      <c r="X57" s="20">
        <f>'伤害统计(理想)'!X57</f>
        <v>0</v>
      </c>
      <c r="Y57" s="20">
        <f>'伤害统计(理想)'!Y57</f>
        <v>0</v>
      </c>
      <c r="Z57" s="20">
        <f>'伤害统计(理想)'!Z57</f>
        <v>0</v>
      </c>
      <c r="AA57" s="20">
        <f>'伤害统计(理想)'!AA57</f>
        <v>0</v>
      </c>
      <c r="AB57" s="20">
        <f>'伤害统计(理想)'!AB57</f>
        <v>0</v>
      </c>
      <c r="AC57" s="29"/>
    </row>
    <row r="58" spans="1:29">
      <c r="A58" s="20" t="str">
        <f>'伤害统计(理想)'!A58</f>
        <v>三才化生</v>
      </c>
      <c r="B58" s="20">
        <f>'伤害统计(理想)'!B58</f>
        <v>14</v>
      </c>
      <c r="C58" s="20">
        <f>'伤害统计(理想)'!C58</f>
        <v>0</v>
      </c>
      <c r="D58" s="20">
        <f>'伤害统计(理想)'!D58</f>
        <v>0</v>
      </c>
      <c r="E58" s="20">
        <f>'伤害统计(理想)'!E58</f>
        <v>0</v>
      </c>
      <c r="F58" s="20">
        <f>'伤害统计(理想)'!F58</f>
        <v>0</v>
      </c>
      <c r="G58" s="20">
        <f>'伤害统计(理想)'!G58</f>
        <v>0</v>
      </c>
      <c r="H58" s="20">
        <f>'伤害统计(理想)'!H58</f>
        <v>0</v>
      </c>
      <c r="I58" s="20">
        <f>'伤害统计(理想)'!I58</f>
        <v>0</v>
      </c>
      <c r="J58" s="20">
        <f>'伤害统计(理想)'!J58</f>
        <v>0</v>
      </c>
      <c r="K58" s="20">
        <f>'伤害统计(理想)'!K58</f>
        <v>14</v>
      </c>
      <c r="L58" s="20">
        <f>'伤害统计(理想)'!L58</f>
        <v>14</v>
      </c>
      <c r="M58" s="20">
        <f>'伤害统计(理想)'!M58</f>
        <v>0</v>
      </c>
      <c r="N58" s="20">
        <f>'伤害统计(理想)'!N58</f>
        <v>0</v>
      </c>
      <c r="O58" s="20">
        <f>'伤害统计(理想)'!O58</f>
        <v>0</v>
      </c>
      <c r="P58" s="20">
        <f>'伤害统计(理想)'!P58</f>
        <v>0</v>
      </c>
      <c r="Q58" s="20">
        <f>'伤害统计(理想)'!Q58</f>
        <v>0</v>
      </c>
      <c r="R58" s="20">
        <f>'伤害统计(理想)'!R58</f>
        <v>0</v>
      </c>
      <c r="S58" s="20">
        <f>'伤害统计(理想)'!S58</f>
        <v>0</v>
      </c>
      <c r="T58" s="20">
        <f>'伤害统计(理想)'!T58</f>
        <v>0</v>
      </c>
      <c r="U58" s="20">
        <f>'伤害统计(理想)'!U58</f>
        <v>0</v>
      </c>
      <c r="V58" s="20">
        <f>'伤害统计(理想)'!V58</f>
        <v>0</v>
      </c>
      <c r="W58" s="20">
        <f>'伤害统计(理想)'!W58</f>
        <v>0</v>
      </c>
      <c r="X58" s="20">
        <f>'伤害统计(理想)'!X58</f>
        <v>0</v>
      </c>
      <c r="Y58" s="20">
        <f>'伤害统计(理想)'!Y58</f>
        <v>0</v>
      </c>
      <c r="Z58" s="20">
        <f>'伤害统计(理想)'!Z58</f>
        <v>0</v>
      </c>
      <c r="AA58" s="20">
        <f>'伤害统计(理想)'!AA58</f>
        <v>0</v>
      </c>
      <c r="AB58" s="20">
        <f>'伤害统计(理想)'!AB58</f>
        <v>0</v>
      </c>
      <c r="AC58" s="29"/>
    </row>
    <row r="59" spans="1:28">
      <c r="A59" s="20" t="str">
        <f>'伤害统计(理想)'!A59</f>
        <v>厚亡</v>
      </c>
      <c r="B59" s="20">
        <f>'伤害统计(理想)'!B59</f>
        <v>0</v>
      </c>
      <c r="C59" s="20">
        <f>'伤害统计(理想)'!C59</f>
        <v>0</v>
      </c>
      <c r="D59" s="20">
        <f>'伤害统计(理想)'!D59</f>
        <v>0</v>
      </c>
      <c r="E59" s="20">
        <f>'伤害统计(理想)'!E59</f>
        <v>0</v>
      </c>
      <c r="F59" s="20">
        <f>'伤害统计(理想)'!F59</f>
        <v>0</v>
      </c>
      <c r="G59" s="20">
        <f>'伤害统计(理想)'!G59</f>
        <v>0</v>
      </c>
      <c r="H59" s="20">
        <f>'伤害统计(理想)'!H59</f>
        <v>0</v>
      </c>
      <c r="I59" s="20">
        <f>'伤害统计(理想)'!I59</f>
        <v>0</v>
      </c>
      <c r="J59" s="20">
        <f>'伤害统计(理想)'!J59</f>
        <v>0</v>
      </c>
      <c r="K59" s="20">
        <f>'伤害统计(理想)'!K59</f>
        <v>0</v>
      </c>
      <c r="L59" s="20">
        <f>'伤害统计(理想)'!L59</f>
        <v>0</v>
      </c>
      <c r="M59" s="20">
        <f>'伤害统计(理想)'!M59</f>
        <v>0</v>
      </c>
      <c r="N59" s="20">
        <f>'伤害统计(理想)'!N59</f>
        <v>0</v>
      </c>
      <c r="O59" s="20">
        <f>'伤害统计(理想)'!O59</f>
        <v>0</v>
      </c>
      <c r="P59" s="20">
        <f>'伤害统计(理想)'!P59</f>
        <v>0</v>
      </c>
      <c r="Q59" s="20">
        <f>'伤害统计(理想)'!Q59</f>
        <v>0</v>
      </c>
      <c r="R59" s="20">
        <f>'伤害统计(理想)'!R59</f>
        <v>0</v>
      </c>
      <c r="S59" s="20">
        <f>'伤害统计(理想)'!S59</f>
        <v>0</v>
      </c>
      <c r="T59" s="20">
        <f>'伤害统计(理想)'!T59</f>
        <v>0</v>
      </c>
      <c r="U59" s="20">
        <f>'伤害统计(理想)'!U59</f>
        <v>0</v>
      </c>
      <c r="V59" s="20">
        <f>'伤害统计(理想)'!V59</f>
        <v>0</v>
      </c>
      <c r="W59" s="20">
        <f>'伤害统计(理想)'!W59</f>
        <v>0</v>
      </c>
      <c r="X59" s="20">
        <f>'伤害统计(理想)'!X59</f>
        <v>0</v>
      </c>
      <c r="Y59" s="20">
        <f>'伤害统计(理想)'!Y59</f>
        <v>0</v>
      </c>
      <c r="Z59" s="20">
        <f>'伤害统计(理想)'!Z59</f>
        <v>0</v>
      </c>
      <c r="AA59" s="20">
        <f>'伤害统计(理想)'!AA59</f>
        <v>0</v>
      </c>
      <c r="AB59" s="20">
        <f>'伤害统计(理想)'!AB59</f>
        <v>0</v>
      </c>
    </row>
    <row r="60" spans="1:28">
      <c r="A60" s="20" t="str">
        <f>'伤害统计(理想)'!A60</f>
        <v>刃凌</v>
      </c>
      <c r="B60" s="20">
        <f>'伤害统计(理想)'!B60</f>
        <v>16</v>
      </c>
      <c r="C60" s="20">
        <f>'伤害统计(理想)'!C60</f>
        <v>0</v>
      </c>
      <c r="D60" s="20">
        <f>'伤害统计(理想)'!D60</f>
        <v>0</v>
      </c>
      <c r="E60" s="20">
        <f>'伤害统计(理想)'!E60</f>
        <v>5</v>
      </c>
      <c r="F60" s="20">
        <f>'伤害统计(理想)'!F60</f>
        <v>2</v>
      </c>
      <c r="G60" s="20">
        <f>'伤害统计(理想)'!G60</f>
        <v>0</v>
      </c>
      <c r="H60" s="20">
        <f>'伤害统计(理想)'!H60</f>
        <v>0</v>
      </c>
      <c r="I60" s="20">
        <f>'伤害统计(理想)'!I60</f>
        <v>0</v>
      </c>
      <c r="J60" s="20">
        <f>'伤害统计(理想)'!J60</f>
        <v>0</v>
      </c>
      <c r="K60" s="20">
        <f>'伤害统计(理想)'!K60</f>
        <v>23</v>
      </c>
      <c r="L60" s="20">
        <f>'伤害统计(理想)'!L60</f>
        <v>23</v>
      </c>
      <c r="M60" s="20">
        <f>'伤害统计(理想)'!M60</f>
        <v>0</v>
      </c>
      <c r="N60" s="20">
        <f>'伤害统计(理想)'!N60</f>
        <v>0</v>
      </c>
      <c r="O60" s="20">
        <f>'伤害统计(理想)'!O60</f>
        <v>0</v>
      </c>
      <c r="P60" s="20">
        <f>'伤害统计(理想)'!P60</f>
        <v>0</v>
      </c>
      <c r="Q60" s="20">
        <f>'伤害统计(理想)'!Q60</f>
        <v>0</v>
      </c>
      <c r="R60" s="20">
        <f>'伤害统计(理想)'!R60</f>
        <v>0</v>
      </c>
      <c r="S60" s="20">
        <f>'伤害统计(理想)'!S60</f>
        <v>0</v>
      </c>
      <c r="T60" s="20">
        <f>'伤害统计(理想)'!T60</f>
        <v>0</v>
      </c>
      <c r="U60" s="20">
        <f>'伤害统计(理想)'!U60</f>
        <v>0</v>
      </c>
      <c r="V60" s="20">
        <f>'伤害统计(理想)'!V60</f>
        <v>0</v>
      </c>
      <c r="W60" s="20">
        <f>'伤害统计(理想)'!W60</f>
        <v>0</v>
      </c>
      <c r="X60" s="20">
        <f>'伤害统计(理想)'!X60</f>
        <v>0</v>
      </c>
      <c r="Y60" s="20">
        <f>'伤害统计(理想)'!Y60</f>
        <v>0</v>
      </c>
      <c r="Z60" s="20">
        <f>'伤害统计(理想)'!Z60</f>
        <v>0</v>
      </c>
      <c r="AA60" s="20">
        <f>'伤害统计(理想)'!AA60</f>
        <v>0</v>
      </c>
      <c r="AB60" s="20">
        <f>'伤害统计(理想)'!AB60</f>
        <v>0</v>
      </c>
    </row>
    <row r="61" spans="1:28">
      <c r="A61" s="20" t="str">
        <f>'伤害统计(理想)'!A61</f>
        <v>昆吾·弦刃</v>
      </c>
      <c r="B61" s="20">
        <f>'伤害统计(理想)'!B61</f>
        <v>14</v>
      </c>
      <c r="C61" s="20">
        <f>'伤害统计(理想)'!C61</f>
        <v>0</v>
      </c>
      <c r="D61" s="20">
        <f>'伤害统计(理想)'!D61</f>
        <v>0</v>
      </c>
      <c r="E61" s="20">
        <f>'伤害统计(理想)'!E61</f>
        <v>2</v>
      </c>
      <c r="F61" s="20">
        <f>'伤害统计(理想)'!F61</f>
        <v>0</v>
      </c>
      <c r="G61" s="20">
        <f>'伤害统计(理想)'!G61</f>
        <v>0</v>
      </c>
      <c r="H61" s="20">
        <f>'伤害统计(理想)'!H61</f>
        <v>0</v>
      </c>
      <c r="I61" s="20">
        <f>'伤害统计(理想)'!I61</f>
        <v>0</v>
      </c>
      <c r="J61" s="20">
        <f>'伤害统计(理想)'!J61</f>
        <v>0</v>
      </c>
      <c r="K61" s="20">
        <f>'伤害统计(理想)'!K61</f>
        <v>16</v>
      </c>
      <c r="L61" s="20">
        <f>'伤害统计(理想)'!L61</f>
        <v>16</v>
      </c>
      <c r="M61" s="20">
        <f>'伤害统计(理想)'!M61</f>
        <v>0</v>
      </c>
      <c r="N61" s="20">
        <f>'伤害统计(理想)'!N61</f>
        <v>0</v>
      </c>
      <c r="O61" s="20">
        <f>'伤害统计(理想)'!O61</f>
        <v>0</v>
      </c>
      <c r="P61" s="20">
        <f>'伤害统计(理想)'!P61</f>
        <v>0</v>
      </c>
      <c r="Q61" s="20">
        <f>'伤害统计(理想)'!Q61</f>
        <v>0</v>
      </c>
      <c r="R61" s="20">
        <f>'伤害统计(理想)'!R61</f>
        <v>0</v>
      </c>
      <c r="S61" s="20">
        <f>'伤害统计(理想)'!S61</f>
        <v>0</v>
      </c>
      <c r="T61" s="20">
        <f>'伤害统计(理想)'!T61</f>
        <v>0</v>
      </c>
      <c r="U61" s="20">
        <f>'伤害统计(理想)'!U61</f>
        <v>0</v>
      </c>
      <c r="V61" s="20">
        <f>'伤害统计(理想)'!V61</f>
        <v>0</v>
      </c>
      <c r="W61" s="20">
        <f>'伤害统计(理想)'!W61</f>
        <v>0</v>
      </c>
      <c r="X61" s="20">
        <f>'伤害统计(理想)'!X61</f>
        <v>0</v>
      </c>
      <c r="Y61" s="20">
        <f>'伤害统计(理想)'!Y61</f>
        <v>0</v>
      </c>
      <c r="Z61" s="20">
        <f>'伤害统计(理想)'!Z61</f>
        <v>0</v>
      </c>
      <c r="AA61" s="20">
        <f>'伤害统计(理想)'!AA61</f>
        <v>0</v>
      </c>
      <c r="AB61" s="20">
        <f>'伤害统计(理想)'!AB61</f>
        <v>0</v>
      </c>
    </row>
    <row r="62" spans="1:35">
      <c r="A62" s="20" t="str">
        <f>'伤害统计(理想)'!A62</f>
        <v>腾空·三才</v>
      </c>
      <c r="B62" s="20">
        <f>'伤害统计(理想)'!B62</f>
        <v>0</v>
      </c>
      <c r="C62" s="20">
        <f>'伤害统计(理想)'!C62</f>
        <v>0</v>
      </c>
      <c r="D62" s="20">
        <f>'伤害统计(理想)'!D62</f>
        <v>0</v>
      </c>
      <c r="E62" s="20">
        <f>'伤害统计(理想)'!E62</f>
        <v>0</v>
      </c>
      <c r="F62" s="20">
        <f>'伤害统计(理想)'!F62</f>
        <v>0</v>
      </c>
      <c r="G62" s="20">
        <f>'伤害统计(理想)'!G62</f>
        <v>0</v>
      </c>
      <c r="H62" s="20">
        <f>'伤害统计(理想)'!H62</f>
        <v>0</v>
      </c>
      <c r="I62" s="20">
        <f>'伤害统计(理想)'!I62</f>
        <v>0</v>
      </c>
      <c r="J62" s="20">
        <f>'伤害统计(理想)'!J62</f>
        <v>0</v>
      </c>
      <c r="K62" s="20">
        <f>'伤害统计(理想)'!K62</f>
        <v>0</v>
      </c>
      <c r="L62" s="20">
        <f>'伤害统计(理想)'!L62</f>
        <v>0</v>
      </c>
      <c r="M62" s="20">
        <f>'伤害统计(理想)'!M62</f>
        <v>0</v>
      </c>
      <c r="N62" s="20">
        <f>'伤害统计(理想)'!N62</f>
        <v>0</v>
      </c>
      <c r="O62" s="20">
        <f>'伤害统计(理想)'!O62</f>
        <v>0</v>
      </c>
      <c r="P62" s="20">
        <f>'伤害统计(理想)'!P62</f>
        <v>0</v>
      </c>
      <c r="Q62" s="20">
        <f>'伤害统计(理想)'!Q62</f>
        <v>0</v>
      </c>
      <c r="R62" s="20">
        <f>'伤害统计(理想)'!R62</f>
        <v>0</v>
      </c>
      <c r="S62" s="20">
        <f>'伤害统计(理想)'!S62</f>
        <v>0</v>
      </c>
      <c r="T62" s="20">
        <f>'伤害统计(理想)'!T62</f>
        <v>0</v>
      </c>
      <c r="U62" s="20">
        <f>'伤害统计(理想)'!U62</f>
        <v>0</v>
      </c>
      <c r="V62" s="20">
        <f>'伤害统计(理想)'!V62</f>
        <v>0</v>
      </c>
      <c r="W62" s="20">
        <f>'伤害统计(理想)'!W62</f>
        <v>0</v>
      </c>
      <c r="X62" s="20">
        <f>'伤害统计(理想)'!X62</f>
        <v>0</v>
      </c>
      <c r="Y62" s="20">
        <f>'伤害统计(理想)'!Y62</f>
        <v>0</v>
      </c>
      <c r="Z62" s="20">
        <f>'伤害统计(理想)'!Z62</f>
        <v>0</v>
      </c>
      <c r="AA62" s="20">
        <f>'伤害统计(理想)'!AA62</f>
        <v>0</v>
      </c>
      <c r="AB62" s="20">
        <f>'伤害统计(理想)'!AB62</f>
        <v>0</v>
      </c>
      <c r="AH62" s="33"/>
      <c r="AI62" s="33"/>
    </row>
    <row r="63" spans="1:28">
      <c r="A63" s="20" t="str">
        <f>'伤害统计(理想)'!A63</f>
        <v>腾空·凭虚</v>
      </c>
      <c r="B63" s="20">
        <f>'伤害统计(理想)'!B63</f>
        <v>0</v>
      </c>
      <c r="C63" s="20">
        <f>'伤害统计(理想)'!C63</f>
        <v>0</v>
      </c>
      <c r="D63" s="20">
        <f>'伤害统计(理想)'!D63</f>
        <v>0</v>
      </c>
      <c r="E63" s="20">
        <f>'伤害统计(理想)'!E63</f>
        <v>0</v>
      </c>
      <c r="F63" s="20">
        <f>'伤害统计(理想)'!F63</f>
        <v>0</v>
      </c>
      <c r="G63" s="20">
        <f>'伤害统计(理想)'!G63</f>
        <v>0</v>
      </c>
      <c r="H63" s="20">
        <f>'伤害统计(理想)'!H63</f>
        <v>0</v>
      </c>
      <c r="I63" s="20">
        <f>'伤害统计(理想)'!I63</f>
        <v>0</v>
      </c>
      <c r="J63" s="20">
        <f>'伤害统计(理想)'!J63</f>
        <v>0</v>
      </c>
      <c r="K63" s="20">
        <f>'伤害统计(理想)'!K63</f>
        <v>0</v>
      </c>
      <c r="L63" s="20">
        <f>'伤害统计(理想)'!L63</f>
        <v>0</v>
      </c>
      <c r="M63" s="20">
        <f>'伤害统计(理想)'!M63</f>
        <v>0</v>
      </c>
      <c r="N63" s="20">
        <f>'伤害统计(理想)'!N63</f>
        <v>0</v>
      </c>
      <c r="O63" s="20">
        <f>'伤害统计(理想)'!O63</f>
        <v>0</v>
      </c>
      <c r="P63" s="20">
        <f>'伤害统计(理想)'!P63</f>
        <v>0</v>
      </c>
      <c r="Q63" s="20">
        <f>'伤害统计(理想)'!Q63</f>
        <v>0</v>
      </c>
      <c r="R63" s="20">
        <f>'伤害统计(理想)'!R63</f>
        <v>0</v>
      </c>
      <c r="S63" s="20">
        <f>'伤害统计(理想)'!S63</f>
        <v>0</v>
      </c>
      <c r="T63" s="20">
        <f>'伤害统计(理想)'!T63</f>
        <v>0</v>
      </c>
      <c r="U63" s="20">
        <f>'伤害统计(理想)'!U63</f>
        <v>0</v>
      </c>
      <c r="V63" s="20">
        <f>'伤害统计(理想)'!V63</f>
        <v>0</v>
      </c>
      <c r="W63" s="20">
        <f>'伤害统计(理想)'!W63</f>
        <v>0</v>
      </c>
      <c r="X63" s="20">
        <f>'伤害统计(理想)'!X63</f>
        <v>0</v>
      </c>
      <c r="Y63" s="20">
        <f>'伤害统计(理想)'!Y63</f>
        <v>0</v>
      </c>
      <c r="Z63" s="20">
        <f>'伤害统计(理想)'!Z63</f>
        <v>0</v>
      </c>
      <c r="AA63" s="20">
        <f>'伤害统计(理想)'!AA63</f>
        <v>0</v>
      </c>
      <c r="AB63" s="20">
        <f>'伤害统计(理想)'!AB63</f>
        <v>0</v>
      </c>
    </row>
    <row r="64" spans="1:33">
      <c r="A64" s="20" t="str">
        <f>'伤害统计(理想)'!A64</f>
        <v>腾空·凭虚·定</v>
      </c>
      <c r="B64" s="20">
        <f>'伤害统计(理想)'!B64</f>
        <v>0</v>
      </c>
      <c r="C64" s="20">
        <f>'伤害统计(理想)'!C64</f>
        <v>0</v>
      </c>
      <c r="D64" s="20">
        <f>'伤害统计(理想)'!D64</f>
        <v>0</v>
      </c>
      <c r="E64" s="20">
        <f>'伤害统计(理想)'!E64</f>
        <v>0</v>
      </c>
      <c r="F64" s="20">
        <f>'伤害统计(理想)'!F64</f>
        <v>0</v>
      </c>
      <c r="G64" s="20">
        <f>'伤害统计(理想)'!G64</f>
        <v>0</v>
      </c>
      <c r="H64" s="20">
        <f>'伤害统计(理想)'!H64</f>
        <v>0</v>
      </c>
      <c r="I64" s="20">
        <f>'伤害统计(理想)'!I64</f>
        <v>0</v>
      </c>
      <c r="J64" s="20">
        <f>'伤害统计(理想)'!J64</f>
        <v>0</v>
      </c>
      <c r="K64" s="20">
        <f>'伤害统计(理想)'!K64</f>
        <v>0</v>
      </c>
      <c r="L64" s="20">
        <f>'伤害统计(理想)'!L64</f>
        <v>0</v>
      </c>
      <c r="M64" s="20">
        <f>'伤害统计(理想)'!M64</f>
        <v>0</v>
      </c>
      <c r="N64" s="20">
        <f>'伤害统计(理想)'!N64</f>
        <v>0</v>
      </c>
      <c r="O64" s="20">
        <f>'伤害统计(理想)'!O64</f>
        <v>0</v>
      </c>
      <c r="P64" s="20">
        <f>'伤害统计(理想)'!P64</f>
        <v>0</v>
      </c>
      <c r="Q64" s="20">
        <f>'伤害统计(理想)'!Q64</f>
        <v>0</v>
      </c>
      <c r="R64" s="20">
        <f>'伤害统计(理想)'!R64</f>
        <v>0</v>
      </c>
      <c r="S64" s="20">
        <f>'伤害统计(理想)'!S64</f>
        <v>0</v>
      </c>
      <c r="T64" s="20">
        <f>'伤害统计(理想)'!T64</f>
        <v>0</v>
      </c>
      <c r="U64" s="20">
        <f>'伤害统计(理想)'!U64</f>
        <v>0</v>
      </c>
      <c r="V64" s="20">
        <f>'伤害统计(理想)'!V64</f>
        <v>0</v>
      </c>
      <c r="W64" s="20">
        <f>'伤害统计(理想)'!W64</f>
        <v>0</v>
      </c>
      <c r="X64" s="20">
        <f>'伤害统计(理想)'!X64</f>
        <v>0</v>
      </c>
      <c r="Y64" s="20">
        <f>'伤害统计(理想)'!Y64</f>
        <v>0</v>
      </c>
      <c r="Z64" s="20">
        <f>'伤害统计(理想)'!Z64</f>
        <v>0</v>
      </c>
      <c r="AA64" s="20">
        <f>'伤害统计(理想)'!AA64</f>
        <v>0</v>
      </c>
      <c r="AB64" s="20">
        <f>'伤害统计(理想)'!AB64</f>
        <v>0</v>
      </c>
      <c r="AG64" s="33"/>
    </row>
    <row r="65" spans="1:28">
      <c r="A65" s="20" t="str">
        <f>'伤害统计(理想)'!A65</f>
        <v>气竭(DOT)</v>
      </c>
      <c r="B65" s="20">
        <f>'伤害统计(理想)'!B65</f>
        <v>0</v>
      </c>
      <c r="C65" s="20">
        <f>'伤害统计(理想)'!C65</f>
        <v>0</v>
      </c>
      <c r="D65" s="20">
        <f>'伤害统计(理想)'!D65</f>
        <v>0</v>
      </c>
      <c r="E65" s="20">
        <f>'伤害统计(理想)'!E65</f>
        <v>0</v>
      </c>
      <c r="F65" s="20">
        <f>'伤害统计(理想)'!F65</f>
        <v>0</v>
      </c>
      <c r="G65" s="20">
        <f>'伤害统计(理想)'!G65</f>
        <v>0</v>
      </c>
      <c r="H65" s="20">
        <f>'伤害统计(理想)'!H65</f>
        <v>0</v>
      </c>
      <c r="I65" s="20">
        <f>'伤害统计(理想)'!I65</f>
        <v>0</v>
      </c>
      <c r="J65" s="20">
        <f>'伤害统计(理想)'!J65</f>
        <v>0</v>
      </c>
      <c r="K65" s="20">
        <f>'伤害统计(理想)'!K65</f>
        <v>0</v>
      </c>
      <c r="L65" s="20">
        <f>'伤害统计(理想)'!L65</f>
        <v>0</v>
      </c>
      <c r="M65" s="20">
        <f>'伤害统计(理想)'!M65</f>
        <v>0</v>
      </c>
      <c r="N65" s="20">
        <f>'伤害统计(理想)'!N65</f>
        <v>0</v>
      </c>
      <c r="O65" s="20">
        <f>'伤害统计(理想)'!O65</f>
        <v>0</v>
      </c>
      <c r="P65" s="20">
        <f>'伤害统计(理想)'!P65</f>
        <v>0</v>
      </c>
      <c r="Q65" s="20">
        <f>'伤害统计(理想)'!Q65</f>
        <v>0</v>
      </c>
      <c r="R65" s="20">
        <f>'伤害统计(理想)'!R65</f>
        <v>0</v>
      </c>
      <c r="S65" s="20">
        <f>'伤害统计(理想)'!S65</f>
        <v>0</v>
      </c>
      <c r="T65" s="20">
        <f>'伤害统计(理想)'!T65</f>
        <v>0</v>
      </c>
      <c r="U65" s="20">
        <f>'伤害统计(理想)'!U65</f>
        <v>0</v>
      </c>
      <c r="V65" s="20">
        <f>'伤害统计(理想)'!V65</f>
        <v>0</v>
      </c>
      <c r="W65" s="20">
        <f>'伤害统计(理想)'!W65</f>
        <v>0</v>
      </c>
      <c r="X65" s="20">
        <f>'伤害统计(理想)'!X65</f>
        <v>0</v>
      </c>
      <c r="Y65" s="20">
        <f>'伤害统计(理想)'!Y65</f>
        <v>0</v>
      </c>
      <c r="Z65" s="20">
        <f>'伤害统计(理想)'!Z65</f>
        <v>0</v>
      </c>
      <c r="AA65" s="20">
        <f>'伤害统计(理想)'!AA65</f>
        <v>0</v>
      </c>
      <c r="AB65" s="20">
        <f>'伤害统计(理想)'!AB65</f>
        <v>0</v>
      </c>
    </row>
    <row r="66" spans="1:28">
      <c r="A66" s="20" t="str">
        <f>'伤害统计(理想)'!A66</f>
        <v>星辰</v>
      </c>
      <c r="B66" s="20">
        <f>'伤害统计(理想)'!B66</f>
        <v>0</v>
      </c>
      <c r="C66" s="20">
        <f>'伤害统计(理想)'!C66</f>
        <v>0</v>
      </c>
      <c r="D66" s="20">
        <f>'伤害统计(理想)'!D66</f>
        <v>0</v>
      </c>
      <c r="E66" s="20">
        <f>'伤害统计(理想)'!E66</f>
        <v>0</v>
      </c>
      <c r="F66" s="20">
        <f>'伤害统计(理想)'!F66</f>
        <v>0</v>
      </c>
      <c r="G66" s="20">
        <f>'伤害统计(理想)'!G66</f>
        <v>0</v>
      </c>
      <c r="H66" s="20">
        <f>'伤害统计(理想)'!H66</f>
        <v>0</v>
      </c>
      <c r="I66" s="20">
        <f>'伤害统计(理想)'!I66</f>
        <v>0</v>
      </c>
      <c r="J66" s="20">
        <f>'伤害统计(理想)'!J66</f>
        <v>0</v>
      </c>
      <c r="K66" s="20">
        <f>'伤害统计(理想)'!K66</f>
        <v>0</v>
      </c>
      <c r="L66" s="20">
        <f>'伤害统计(理想)'!L66</f>
        <v>0</v>
      </c>
      <c r="M66" s="20">
        <f>'伤害统计(理想)'!M66</f>
        <v>0</v>
      </c>
      <c r="N66" s="20">
        <f>'伤害统计(理想)'!N66</f>
        <v>0</v>
      </c>
      <c r="O66" s="20">
        <f>'伤害统计(理想)'!O66</f>
        <v>0</v>
      </c>
      <c r="P66" s="20">
        <f>'伤害统计(理想)'!P66</f>
        <v>0</v>
      </c>
      <c r="Q66" s="20">
        <f>'伤害统计(理想)'!Q66</f>
        <v>0</v>
      </c>
      <c r="R66" s="20">
        <f>'伤害统计(理想)'!R66</f>
        <v>0</v>
      </c>
      <c r="S66" s="20">
        <f>'伤害统计(理想)'!S66</f>
        <v>0</v>
      </c>
      <c r="T66" s="20">
        <f>'伤害统计(理想)'!T66</f>
        <v>0</v>
      </c>
      <c r="U66" s="20">
        <f>'伤害统计(理想)'!U66</f>
        <v>0</v>
      </c>
      <c r="V66" s="20">
        <f>'伤害统计(理想)'!V66</f>
        <v>0</v>
      </c>
      <c r="W66" s="20">
        <f>'伤害统计(理想)'!W66</f>
        <v>0</v>
      </c>
      <c r="X66" s="20">
        <f>'伤害统计(理想)'!X66</f>
        <v>0</v>
      </c>
      <c r="Y66" s="20">
        <f>'伤害统计(理想)'!Y66</f>
        <v>0</v>
      </c>
      <c r="Z66" s="20">
        <f>'伤害统计(理想)'!Z66</f>
        <v>0</v>
      </c>
      <c r="AA66" s="20">
        <f>'伤害统计(理想)'!AA66</f>
        <v>0</v>
      </c>
      <c r="AB66" s="20">
        <f>'伤害统计(理想)'!AB66</f>
        <v>0</v>
      </c>
    </row>
    <row r="67" spans="1:9">
      <c r="A67" s="20" t="str">
        <f>'伤害统计(理想)'!A67</f>
        <v>四象轮回·神兵</v>
      </c>
      <c r="B67" s="20">
        <f>'伤害统计(理想)'!B67</f>
        <v>0</v>
      </c>
      <c r="C67" s="20">
        <f>'伤害统计(理想)'!C67</f>
        <v>0</v>
      </c>
      <c r="D67" s="20">
        <f>'伤害统计(理想)'!D67</f>
        <v>0</v>
      </c>
      <c r="E67" s="20">
        <f>'伤害统计(理想)'!E67</f>
        <v>0</v>
      </c>
      <c r="F67" s="20">
        <f>'伤害统计(理想)'!F67</f>
        <v>0</v>
      </c>
      <c r="G67" s="20">
        <f>'伤害统计(理想)'!G67</f>
        <v>0</v>
      </c>
      <c r="H67" s="20">
        <f>'伤害统计(理想)'!H67</f>
        <v>0</v>
      </c>
      <c r="I67" s="20">
        <f>'伤害统计(理想)'!I67</f>
        <v>0</v>
      </c>
    </row>
    <row r="69" spans="33:33">
      <c r="AG69" s="33"/>
    </row>
    <row r="70" spans="2:12">
      <c r="B70" s="20" t="s">
        <v>365</v>
      </c>
      <c r="C70" s="20" t="s">
        <v>987</v>
      </c>
      <c r="D70" s="20" t="s">
        <v>988</v>
      </c>
      <c r="E70" s="20" t="s">
        <v>989</v>
      </c>
      <c r="F70" s="20" t="s">
        <v>990</v>
      </c>
      <c r="G70" s="20" t="s">
        <v>991</v>
      </c>
      <c r="H70" s="20" t="s">
        <v>992</v>
      </c>
      <c r="I70" s="20" t="s">
        <v>993</v>
      </c>
      <c r="L70" s="20" t="s">
        <v>996</v>
      </c>
    </row>
    <row r="71" spans="1:12">
      <c r="A71" s="20" t="s">
        <v>959</v>
      </c>
      <c r="B71" s="20">
        <f t="shared" ref="B71:B100" si="13">(AC2*(1-Q2)+AF2*Q2)*B38</f>
        <v>4561410.9072</v>
      </c>
      <c r="C71" s="20">
        <f t="shared" ref="C71:C100" si="14">(AI2*(1-S2)+AJ2*S2)*C38</f>
        <v>0</v>
      </c>
      <c r="D71" s="20">
        <f t="shared" ref="D71:D100" si="15">(AD2*(1-S2)+AG2*S2)*D38</f>
        <v>0</v>
      </c>
      <c r="E71" s="20">
        <f t="shared" ref="E71:E100" si="16">(AD2*(1-S2)+AM2*S2)*E38</f>
        <v>0</v>
      </c>
      <c r="F71" s="20">
        <f t="shared" ref="F71:F100" si="17">(AE2*(1-Q2)+AH2*Q2)*F38</f>
        <v>0</v>
      </c>
      <c r="G71" s="20">
        <f t="shared" ref="G71:G100" si="18">(AK2*(1-S2)+AL2*S2)*G38</f>
        <v>0</v>
      </c>
      <c r="H71" s="20">
        <f t="shared" ref="H71:H100" si="19">(AE2*(1-S2)+AH2*S2)*H38</f>
        <v>0</v>
      </c>
      <c r="I71" s="20">
        <f t="shared" ref="I71:I100" si="20">(AE2*(1-S2)+AN2*S2)*I38</f>
        <v>0</v>
      </c>
      <c r="K71" s="20">
        <f t="shared" ref="K71:K99" si="21">INT(SUM(B71:I71))</f>
        <v>4561410</v>
      </c>
      <c r="L71" s="20">
        <f>K71</f>
        <v>4561410</v>
      </c>
    </row>
    <row r="72" spans="1:12">
      <c r="A72" s="20" t="s">
        <v>960</v>
      </c>
      <c r="B72" s="20">
        <f t="shared" si="13"/>
        <v>7559459.2062</v>
      </c>
      <c r="C72" s="20">
        <f t="shared" si="14"/>
        <v>0</v>
      </c>
      <c r="D72" s="20">
        <f t="shared" si="15"/>
        <v>676690.8725</v>
      </c>
      <c r="E72" s="20">
        <f t="shared" si="16"/>
        <v>1452059.065</v>
      </c>
      <c r="F72" s="20">
        <f t="shared" si="17"/>
        <v>273548.7188</v>
      </c>
      <c r="G72" s="20">
        <f t="shared" si="18"/>
        <v>0</v>
      </c>
      <c r="H72" s="20">
        <f t="shared" si="19"/>
        <v>335501.787</v>
      </c>
      <c r="I72" s="20">
        <f t="shared" si="20"/>
        <v>627345.254</v>
      </c>
      <c r="K72" s="20">
        <f t="shared" si="21"/>
        <v>10924604</v>
      </c>
      <c r="L72" s="20">
        <f>SUM(K72:K76)</f>
        <v>68054843</v>
      </c>
    </row>
    <row r="73" spans="1:11">
      <c r="A73" s="20" t="s">
        <v>961</v>
      </c>
      <c r="B73" s="20">
        <f t="shared" si="13"/>
        <v>8488923.1812</v>
      </c>
      <c r="C73" s="20">
        <f t="shared" si="14"/>
        <v>0</v>
      </c>
      <c r="D73" s="20">
        <f t="shared" si="15"/>
        <v>759886.2575</v>
      </c>
      <c r="E73" s="20">
        <f t="shared" si="16"/>
        <v>1630583.755</v>
      </c>
      <c r="F73" s="20">
        <f t="shared" si="17"/>
        <v>307182.9952</v>
      </c>
      <c r="G73" s="20">
        <f t="shared" si="18"/>
        <v>0</v>
      </c>
      <c r="H73" s="20">
        <f t="shared" si="19"/>
        <v>376753.448</v>
      </c>
      <c r="I73" s="20">
        <f t="shared" si="20"/>
        <v>704480.506</v>
      </c>
      <c r="K73" s="20">
        <f t="shared" si="21"/>
        <v>12267810</v>
      </c>
    </row>
    <row r="74" spans="1:11">
      <c r="A74" s="20" t="s">
        <v>962</v>
      </c>
      <c r="B74" s="20">
        <f t="shared" si="13"/>
        <v>9418337.7156</v>
      </c>
      <c r="C74" s="20">
        <f t="shared" si="14"/>
        <v>0</v>
      </c>
      <c r="D74" s="20">
        <f t="shared" si="15"/>
        <v>843094.0775</v>
      </c>
      <c r="E74" s="20">
        <f t="shared" si="16"/>
        <v>1809125.88</v>
      </c>
      <c r="F74" s="20">
        <f t="shared" si="17"/>
        <v>340817.2716</v>
      </c>
      <c r="G74" s="20">
        <f t="shared" si="18"/>
        <v>0</v>
      </c>
      <c r="H74" s="20">
        <f t="shared" si="19"/>
        <v>418005.109</v>
      </c>
      <c r="I74" s="20">
        <f t="shared" si="20"/>
        <v>781615.758</v>
      </c>
      <c r="K74" s="20">
        <f t="shared" si="21"/>
        <v>13610995</v>
      </c>
    </row>
    <row r="75" spans="1:11">
      <c r="A75" s="20" t="s">
        <v>963</v>
      </c>
      <c r="B75" s="20">
        <f t="shared" si="13"/>
        <v>10347752.25</v>
      </c>
      <c r="C75" s="20">
        <f t="shared" si="14"/>
        <v>0</v>
      </c>
      <c r="D75" s="20">
        <f t="shared" si="15"/>
        <v>926289.4625</v>
      </c>
      <c r="E75" s="20">
        <f t="shared" si="16"/>
        <v>1987650.57</v>
      </c>
      <c r="F75" s="20">
        <f t="shared" si="17"/>
        <v>374448.5492</v>
      </c>
      <c r="G75" s="20">
        <f t="shared" si="18"/>
        <v>0</v>
      </c>
      <c r="H75" s="20">
        <f t="shared" si="19"/>
        <v>459253.283</v>
      </c>
      <c r="I75" s="20">
        <f t="shared" si="20"/>
        <v>858744.036</v>
      </c>
      <c r="K75" s="20">
        <f t="shared" si="21"/>
        <v>14954138</v>
      </c>
    </row>
    <row r="76" spans="1:11">
      <c r="A76" s="20" t="s">
        <v>964</v>
      </c>
      <c r="B76" s="20">
        <f t="shared" si="13"/>
        <v>11277166.7844</v>
      </c>
      <c r="C76" s="20">
        <f t="shared" si="14"/>
        <v>0</v>
      </c>
      <c r="D76" s="20">
        <f t="shared" si="15"/>
        <v>1009484.8475</v>
      </c>
      <c r="E76" s="20">
        <f t="shared" si="16"/>
        <v>2166175.26</v>
      </c>
      <c r="F76" s="20">
        <f t="shared" si="17"/>
        <v>408082.8256</v>
      </c>
      <c r="G76" s="20">
        <f t="shared" si="18"/>
        <v>0</v>
      </c>
      <c r="H76" s="20">
        <f t="shared" si="19"/>
        <v>500504.944</v>
      </c>
      <c r="I76" s="20">
        <f t="shared" si="20"/>
        <v>935882.262</v>
      </c>
      <c r="K76" s="20">
        <f t="shared" si="21"/>
        <v>16297296</v>
      </c>
    </row>
    <row r="77" spans="1:12">
      <c r="A77" s="20" t="s">
        <v>965</v>
      </c>
      <c r="B77" s="20">
        <f t="shared" si="13"/>
        <v>2032191.672</v>
      </c>
      <c r="C77" s="20">
        <f t="shared" si="14"/>
        <v>0</v>
      </c>
      <c r="D77" s="20">
        <f t="shared" si="15"/>
        <v>0</v>
      </c>
      <c r="E77" s="20">
        <f t="shared" si="16"/>
        <v>13696448.7</v>
      </c>
      <c r="F77" s="20">
        <f t="shared" si="17"/>
        <v>0</v>
      </c>
      <c r="G77" s="20">
        <f t="shared" si="18"/>
        <v>0</v>
      </c>
      <c r="H77" s="20">
        <f t="shared" si="19"/>
        <v>0</v>
      </c>
      <c r="I77" s="20">
        <f t="shared" si="20"/>
        <v>5917368.74</v>
      </c>
      <c r="K77" s="20">
        <f t="shared" si="21"/>
        <v>21646009</v>
      </c>
      <c r="L77" s="20">
        <f t="shared" ref="L77:L79" si="22">K77</f>
        <v>21646009</v>
      </c>
    </row>
    <row r="78" spans="1:12">
      <c r="A78" s="35" t="s">
        <v>966</v>
      </c>
      <c r="B78" s="20">
        <f t="shared" si="13"/>
        <v>371287.315</v>
      </c>
      <c r="C78" s="20">
        <f t="shared" si="14"/>
        <v>0</v>
      </c>
      <c r="D78" s="20">
        <f t="shared" si="15"/>
        <v>0</v>
      </c>
      <c r="E78" s="20">
        <f t="shared" si="16"/>
        <v>0</v>
      </c>
      <c r="F78" s="20">
        <f t="shared" si="17"/>
        <v>0</v>
      </c>
      <c r="G78" s="20">
        <f t="shared" si="18"/>
        <v>0</v>
      </c>
      <c r="H78" s="20">
        <f t="shared" si="19"/>
        <v>0</v>
      </c>
      <c r="I78" s="20">
        <f t="shared" si="20"/>
        <v>0</v>
      </c>
      <c r="K78" s="20">
        <f t="shared" si="21"/>
        <v>371287</v>
      </c>
      <c r="L78" s="20">
        <f t="shared" si="22"/>
        <v>371287</v>
      </c>
    </row>
    <row r="79" spans="1:12">
      <c r="A79" s="20" t="s">
        <v>967</v>
      </c>
      <c r="B79" s="20">
        <f t="shared" si="13"/>
        <v>13194129.9588</v>
      </c>
      <c r="C79" s="20">
        <f t="shared" si="14"/>
        <v>0</v>
      </c>
      <c r="D79" s="20">
        <f t="shared" si="15"/>
        <v>2771071.1075</v>
      </c>
      <c r="E79" s="20">
        <f t="shared" si="16"/>
        <v>5970253.99</v>
      </c>
      <c r="F79" s="20">
        <f t="shared" si="17"/>
        <v>1085215.2588</v>
      </c>
      <c r="G79" s="20">
        <f t="shared" si="18"/>
        <v>0</v>
      </c>
      <c r="H79" s="20">
        <f t="shared" si="19"/>
        <v>1291919.627</v>
      </c>
      <c r="I79" s="20">
        <f t="shared" si="20"/>
        <v>2579388.682</v>
      </c>
      <c r="K79" s="20">
        <f t="shared" si="21"/>
        <v>26891978</v>
      </c>
      <c r="L79" s="20">
        <f t="shared" si="22"/>
        <v>26891978</v>
      </c>
    </row>
    <row r="80" spans="1:12">
      <c r="A80" s="20" t="s">
        <v>1001</v>
      </c>
      <c r="B80" s="20">
        <f t="shared" si="13"/>
        <v>11142490.3044</v>
      </c>
      <c r="C80" s="20">
        <f t="shared" si="14"/>
        <v>0</v>
      </c>
      <c r="D80" s="20">
        <f t="shared" si="15"/>
        <v>2331575.5125</v>
      </c>
      <c r="E80" s="20">
        <f t="shared" si="16"/>
        <v>7518135.8775</v>
      </c>
      <c r="F80" s="20">
        <f t="shared" si="17"/>
        <v>900118.6756</v>
      </c>
      <c r="G80" s="20">
        <f t="shared" si="18"/>
        <v>0</v>
      </c>
      <c r="H80" s="20">
        <f t="shared" si="19"/>
        <v>1084529.879</v>
      </c>
      <c r="I80" s="20">
        <f t="shared" si="20"/>
        <v>3248150.58</v>
      </c>
      <c r="K80" s="20">
        <f t="shared" si="21"/>
        <v>26225000</v>
      </c>
      <c r="L80" s="20">
        <f>SUM(K80:K82)</f>
        <v>28864077</v>
      </c>
    </row>
    <row r="81" spans="1:11">
      <c r="A81" s="20" t="s">
        <v>969</v>
      </c>
      <c r="B81" s="20">
        <f t="shared" si="13"/>
        <v>2639077.0848</v>
      </c>
      <c r="C81" s="20">
        <f t="shared" si="14"/>
        <v>0</v>
      </c>
      <c r="D81" s="20">
        <f t="shared" si="15"/>
        <v>0</v>
      </c>
      <c r="E81" s="20">
        <f t="shared" si="16"/>
        <v>0</v>
      </c>
      <c r="F81" s="20">
        <f t="shared" si="17"/>
        <v>0</v>
      </c>
      <c r="G81" s="20">
        <f t="shared" si="18"/>
        <v>0</v>
      </c>
      <c r="H81" s="20">
        <f t="shared" si="19"/>
        <v>0</v>
      </c>
      <c r="I81" s="20">
        <f t="shared" si="20"/>
        <v>0</v>
      </c>
      <c r="K81" s="20">
        <f t="shared" si="21"/>
        <v>2639077</v>
      </c>
    </row>
    <row r="82" spans="1:11">
      <c r="A82" s="20" t="s">
        <v>970</v>
      </c>
      <c r="B82" s="20">
        <f t="shared" si="13"/>
        <v>0</v>
      </c>
      <c r="C82" s="20">
        <f t="shared" si="14"/>
        <v>0</v>
      </c>
      <c r="D82" s="20">
        <f t="shared" si="15"/>
        <v>0</v>
      </c>
      <c r="E82" s="20">
        <f t="shared" si="16"/>
        <v>0</v>
      </c>
      <c r="F82" s="20">
        <f t="shared" si="17"/>
        <v>0</v>
      </c>
      <c r="G82" s="20">
        <f t="shared" si="18"/>
        <v>0</v>
      </c>
      <c r="H82" s="20">
        <f t="shared" si="19"/>
        <v>0</v>
      </c>
      <c r="I82" s="20">
        <f t="shared" si="20"/>
        <v>0</v>
      </c>
      <c r="K82" s="20">
        <f t="shared" si="21"/>
        <v>0</v>
      </c>
    </row>
    <row r="83" spans="1:12">
      <c r="A83" s="35" t="s">
        <v>971</v>
      </c>
      <c r="B83" s="20">
        <f t="shared" si="13"/>
        <v>1080382.1158</v>
      </c>
      <c r="C83" s="20">
        <f t="shared" si="14"/>
        <v>0</v>
      </c>
      <c r="D83" s="20">
        <f t="shared" si="15"/>
        <v>0</v>
      </c>
      <c r="E83" s="20">
        <f t="shared" si="16"/>
        <v>0</v>
      </c>
      <c r="F83" s="20">
        <f t="shared" si="17"/>
        <v>0</v>
      </c>
      <c r="G83" s="20">
        <f t="shared" si="18"/>
        <v>0</v>
      </c>
      <c r="H83" s="20">
        <f t="shared" si="19"/>
        <v>0</v>
      </c>
      <c r="I83" s="20">
        <f t="shared" si="20"/>
        <v>0</v>
      </c>
      <c r="K83" s="20">
        <f t="shared" si="21"/>
        <v>1080382</v>
      </c>
      <c r="L83" s="20">
        <f>SUM(K83:K87)</f>
        <v>13310532</v>
      </c>
    </row>
    <row r="84" spans="1:11">
      <c r="A84" s="35" t="s">
        <v>972</v>
      </c>
      <c r="B84" s="20">
        <f t="shared" si="13"/>
        <v>673164.0132</v>
      </c>
      <c r="C84" s="20">
        <f t="shared" si="14"/>
        <v>0</v>
      </c>
      <c r="D84" s="20">
        <f t="shared" si="15"/>
        <v>0</v>
      </c>
      <c r="E84" s="20">
        <f t="shared" si="16"/>
        <v>1067190.3175</v>
      </c>
      <c r="F84" s="20">
        <f t="shared" si="17"/>
        <v>0</v>
      </c>
      <c r="G84" s="20">
        <f t="shared" si="18"/>
        <v>0</v>
      </c>
      <c r="H84" s="20">
        <f t="shared" si="19"/>
        <v>0</v>
      </c>
      <c r="I84" s="20">
        <f t="shared" si="20"/>
        <v>461068.598</v>
      </c>
      <c r="K84" s="20">
        <f t="shared" si="21"/>
        <v>2201422</v>
      </c>
    </row>
    <row r="85" spans="1:11">
      <c r="A85" s="35" t="s">
        <v>973</v>
      </c>
      <c r="B85" s="20">
        <f t="shared" si="13"/>
        <v>847690.1268</v>
      </c>
      <c r="C85" s="20">
        <f t="shared" si="14"/>
        <v>0</v>
      </c>
      <c r="D85" s="20">
        <f t="shared" si="15"/>
        <v>0</v>
      </c>
      <c r="E85" s="20">
        <f t="shared" si="16"/>
        <v>1343866.0125</v>
      </c>
      <c r="F85" s="20">
        <f t="shared" si="17"/>
        <v>0</v>
      </c>
      <c r="G85" s="20">
        <f t="shared" si="18"/>
        <v>0</v>
      </c>
      <c r="H85" s="20">
        <f t="shared" si="19"/>
        <v>0</v>
      </c>
      <c r="I85" s="20">
        <f t="shared" si="20"/>
        <v>580605.64</v>
      </c>
      <c r="K85" s="20">
        <f t="shared" si="21"/>
        <v>2772161</v>
      </c>
    </row>
    <row r="86" spans="1:11">
      <c r="A86" s="35" t="s">
        <v>974</v>
      </c>
      <c r="B86" s="20">
        <f t="shared" si="13"/>
        <v>1022216.2404</v>
      </c>
      <c r="C86" s="20">
        <f t="shared" si="14"/>
        <v>0</v>
      </c>
      <c r="D86" s="20">
        <f t="shared" si="15"/>
        <v>0</v>
      </c>
      <c r="E86" s="20">
        <f t="shared" si="16"/>
        <v>1620554.1425</v>
      </c>
      <c r="F86" s="20">
        <f t="shared" si="17"/>
        <v>0</v>
      </c>
      <c r="G86" s="20">
        <f t="shared" si="18"/>
        <v>0</v>
      </c>
      <c r="H86" s="20">
        <f t="shared" si="19"/>
        <v>0</v>
      </c>
      <c r="I86" s="20">
        <f t="shared" si="20"/>
        <v>700144.169</v>
      </c>
      <c r="K86" s="20">
        <f t="shared" si="21"/>
        <v>3342914</v>
      </c>
    </row>
    <row r="87" spans="1:11">
      <c r="A87" s="35" t="s">
        <v>975</v>
      </c>
      <c r="B87" s="20">
        <f t="shared" si="13"/>
        <v>1196742.354</v>
      </c>
      <c r="C87" s="20">
        <f t="shared" si="14"/>
        <v>0</v>
      </c>
      <c r="D87" s="20">
        <f t="shared" si="15"/>
        <v>0</v>
      </c>
      <c r="E87" s="20">
        <f t="shared" si="16"/>
        <v>1897229.8375</v>
      </c>
      <c r="F87" s="20">
        <f t="shared" si="17"/>
        <v>0</v>
      </c>
      <c r="G87" s="20">
        <f t="shared" si="18"/>
        <v>0</v>
      </c>
      <c r="H87" s="20">
        <f t="shared" si="19"/>
        <v>0</v>
      </c>
      <c r="I87" s="20">
        <f t="shared" si="20"/>
        <v>819681.211</v>
      </c>
      <c r="K87" s="20">
        <f t="shared" si="21"/>
        <v>3913653</v>
      </c>
    </row>
    <row r="88" spans="1:12">
      <c r="A88" s="20" t="s">
        <v>976</v>
      </c>
      <c r="B88" s="20">
        <f t="shared" si="13"/>
        <v>27329170.0896</v>
      </c>
      <c r="C88" s="20">
        <f t="shared" si="14"/>
        <v>0</v>
      </c>
      <c r="D88" s="20">
        <f t="shared" si="15"/>
        <v>3263749.12</v>
      </c>
      <c r="E88" s="20">
        <f t="shared" si="16"/>
        <v>10505141.19</v>
      </c>
      <c r="F88" s="20">
        <f t="shared" si="17"/>
        <v>1250302.496</v>
      </c>
      <c r="G88" s="20">
        <f t="shared" si="18"/>
        <v>0</v>
      </c>
      <c r="H88" s="20">
        <f t="shared" si="19"/>
        <v>1515356.04</v>
      </c>
      <c r="I88" s="20">
        <f t="shared" si="20"/>
        <v>4538645.016</v>
      </c>
      <c r="K88" s="20">
        <f t="shared" si="21"/>
        <v>48402363</v>
      </c>
      <c r="L88" s="20">
        <f>SUM(K88:K90)</f>
        <v>50963334</v>
      </c>
    </row>
    <row r="89" spans="1:11">
      <c r="A89" s="20" t="s">
        <v>977</v>
      </c>
      <c r="B89" s="20">
        <f t="shared" si="13"/>
        <v>0</v>
      </c>
      <c r="C89" s="20">
        <f t="shared" si="14"/>
        <v>0</v>
      </c>
      <c r="D89" s="20">
        <f t="shared" si="15"/>
        <v>0</v>
      </c>
      <c r="E89" s="20">
        <f t="shared" si="16"/>
        <v>0</v>
      </c>
      <c r="F89" s="20">
        <f t="shared" si="17"/>
        <v>0</v>
      </c>
      <c r="G89" s="20">
        <f t="shared" si="18"/>
        <v>0</v>
      </c>
      <c r="H89" s="20">
        <f t="shared" si="19"/>
        <v>0</v>
      </c>
      <c r="I89" s="20">
        <f t="shared" si="20"/>
        <v>0</v>
      </c>
      <c r="K89" s="20">
        <f t="shared" si="21"/>
        <v>0</v>
      </c>
    </row>
    <row r="90" spans="1:11">
      <c r="A90" s="20" t="s">
        <v>978</v>
      </c>
      <c r="B90" s="20">
        <f t="shared" si="13"/>
        <v>2560971.8036</v>
      </c>
      <c r="C90" s="20">
        <f t="shared" si="14"/>
        <v>0</v>
      </c>
      <c r="D90" s="20">
        <f t="shared" si="15"/>
        <v>0</v>
      </c>
      <c r="E90" s="20">
        <f t="shared" si="16"/>
        <v>0</v>
      </c>
      <c r="F90" s="20">
        <f t="shared" si="17"/>
        <v>0</v>
      </c>
      <c r="G90" s="20">
        <f t="shared" si="18"/>
        <v>0</v>
      </c>
      <c r="H90" s="20">
        <f t="shared" si="19"/>
        <v>0</v>
      </c>
      <c r="I90" s="20">
        <f t="shared" si="20"/>
        <v>0</v>
      </c>
      <c r="K90" s="20">
        <f t="shared" si="21"/>
        <v>2560971</v>
      </c>
    </row>
    <row r="91" spans="1:12">
      <c r="A91" s="35" t="s">
        <v>979</v>
      </c>
      <c r="B91" s="20">
        <f t="shared" si="13"/>
        <v>111112.96</v>
      </c>
      <c r="C91" s="20">
        <f t="shared" si="14"/>
        <v>0</v>
      </c>
      <c r="D91" s="20">
        <f t="shared" si="15"/>
        <v>0</v>
      </c>
      <c r="E91" s="20">
        <f t="shared" si="16"/>
        <v>0</v>
      </c>
      <c r="F91" s="20">
        <f t="shared" si="17"/>
        <v>0</v>
      </c>
      <c r="G91" s="20">
        <f t="shared" si="18"/>
        <v>0</v>
      </c>
      <c r="H91" s="20">
        <f t="shared" si="19"/>
        <v>0</v>
      </c>
      <c r="I91" s="20">
        <f t="shared" si="20"/>
        <v>0</v>
      </c>
      <c r="K91" s="20">
        <f t="shared" si="21"/>
        <v>111112</v>
      </c>
      <c r="L91" s="20">
        <f t="shared" ref="L91:L99" si="23">K91</f>
        <v>111112</v>
      </c>
    </row>
    <row r="92" spans="1:12">
      <c r="A92" s="35" t="s">
        <v>364</v>
      </c>
      <c r="B92" s="20">
        <f t="shared" si="13"/>
        <v>0</v>
      </c>
      <c r="C92" s="20">
        <f t="shared" si="14"/>
        <v>0</v>
      </c>
      <c r="D92" s="20">
        <f t="shared" si="15"/>
        <v>0</v>
      </c>
      <c r="E92" s="20">
        <f t="shared" si="16"/>
        <v>0</v>
      </c>
      <c r="F92" s="20">
        <f t="shared" si="17"/>
        <v>0</v>
      </c>
      <c r="G92" s="20">
        <f t="shared" si="18"/>
        <v>0</v>
      </c>
      <c r="H92" s="20">
        <f t="shared" si="19"/>
        <v>0</v>
      </c>
      <c r="I92" s="20">
        <f t="shared" si="20"/>
        <v>0</v>
      </c>
      <c r="K92" s="20">
        <f t="shared" si="21"/>
        <v>0</v>
      </c>
      <c r="L92" s="20">
        <f t="shared" si="23"/>
        <v>0</v>
      </c>
    </row>
    <row r="93" spans="1:12">
      <c r="A93" s="35" t="s">
        <v>980</v>
      </c>
      <c r="B93" s="20">
        <f t="shared" si="13"/>
        <v>406084.0832</v>
      </c>
      <c r="C93" s="20">
        <f t="shared" si="14"/>
        <v>0</v>
      </c>
      <c r="D93" s="20">
        <f t="shared" si="15"/>
        <v>0</v>
      </c>
      <c r="E93" s="20">
        <f t="shared" si="16"/>
        <v>241311.4275</v>
      </c>
      <c r="F93" s="20">
        <f t="shared" si="17"/>
        <v>86160.1044</v>
      </c>
      <c r="G93" s="20">
        <f t="shared" si="18"/>
        <v>0</v>
      </c>
      <c r="H93" s="20">
        <f t="shared" si="19"/>
        <v>0</v>
      </c>
      <c r="I93" s="20">
        <f t="shared" si="20"/>
        <v>0</v>
      </c>
      <c r="K93" s="20">
        <f t="shared" si="21"/>
        <v>733555</v>
      </c>
      <c r="L93" s="20">
        <f t="shared" si="23"/>
        <v>733555</v>
      </c>
    </row>
    <row r="94" spans="1:12">
      <c r="A94" s="35" t="s">
        <v>981</v>
      </c>
      <c r="B94" s="20">
        <f t="shared" si="13"/>
        <v>638444.7132</v>
      </c>
      <c r="C94" s="20">
        <f t="shared" si="14"/>
        <v>0</v>
      </c>
      <c r="D94" s="20">
        <f t="shared" si="15"/>
        <v>0</v>
      </c>
      <c r="E94" s="20">
        <f t="shared" si="16"/>
        <v>173514.499</v>
      </c>
      <c r="F94" s="20">
        <f t="shared" si="17"/>
        <v>0</v>
      </c>
      <c r="G94" s="20">
        <f t="shared" si="18"/>
        <v>0</v>
      </c>
      <c r="H94" s="20">
        <f t="shared" si="19"/>
        <v>0</v>
      </c>
      <c r="I94" s="20">
        <f t="shared" si="20"/>
        <v>0</v>
      </c>
      <c r="K94" s="20">
        <f t="shared" si="21"/>
        <v>811959</v>
      </c>
      <c r="L94" s="20">
        <f t="shared" si="23"/>
        <v>811959</v>
      </c>
    </row>
    <row r="95" spans="1:12">
      <c r="A95" s="35" t="s">
        <v>72</v>
      </c>
      <c r="B95" s="20">
        <f t="shared" si="13"/>
        <v>0</v>
      </c>
      <c r="C95" s="20">
        <f t="shared" si="14"/>
        <v>0</v>
      </c>
      <c r="D95" s="20">
        <f t="shared" si="15"/>
        <v>0</v>
      </c>
      <c r="E95" s="20">
        <f t="shared" si="16"/>
        <v>0</v>
      </c>
      <c r="F95" s="20">
        <f t="shared" si="17"/>
        <v>0</v>
      </c>
      <c r="G95" s="20">
        <f t="shared" si="18"/>
        <v>0</v>
      </c>
      <c r="H95" s="20">
        <f t="shared" si="19"/>
        <v>0</v>
      </c>
      <c r="I95" s="20">
        <f t="shared" si="20"/>
        <v>0</v>
      </c>
      <c r="K95" s="20">
        <f t="shared" si="21"/>
        <v>0</v>
      </c>
      <c r="L95" s="20">
        <f t="shared" si="23"/>
        <v>0</v>
      </c>
    </row>
    <row r="96" spans="1:12">
      <c r="A96" s="35" t="s">
        <v>70</v>
      </c>
      <c r="B96" s="20">
        <f t="shared" si="13"/>
        <v>0</v>
      </c>
      <c r="C96" s="20">
        <f t="shared" si="14"/>
        <v>0</v>
      </c>
      <c r="D96" s="20">
        <f t="shared" si="15"/>
        <v>0</v>
      </c>
      <c r="E96" s="20">
        <f t="shared" si="16"/>
        <v>0</v>
      </c>
      <c r="F96" s="20">
        <f t="shared" si="17"/>
        <v>0</v>
      </c>
      <c r="G96" s="20">
        <f t="shared" si="18"/>
        <v>0</v>
      </c>
      <c r="H96" s="20">
        <f t="shared" si="19"/>
        <v>0</v>
      </c>
      <c r="I96" s="20">
        <f t="shared" si="20"/>
        <v>0</v>
      </c>
      <c r="K96" s="20">
        <f t="shared" si="21"/>
        <v>0</v>
      </c>
      <c r="L96" s="20">
        <f t="shared" si="23"/>
        <v>0</v>
      </c>
    </row>
    <row r="97" spans="1:12">
      <c r="A97" s="35" t="s">
        <v>982</v>
      </c>
      <c r="B97" s="20">
        <f t="shared" si="13"/>
        <v>0</v>
      </c>
      <c r="C97" s="20">
        <f t="shared" si="14"/>
        <v>0</v>
      </c>
      <c r="D97" s="20">
        <f t="shared" si="15"/>
        <v>0</v>
      </c>
      <c r="E97" s="20">
        <f t="shared" si="16"/>
        <v>0</v>
      </c>
      <c r="F97" s="20">
        <f t="shared" si="17"/>
        <v>0</v>
      </c>
      <c r="G97" s="20">
        <f t="shared" si="18"/>
        <v>0</v>
      </c>
      <c r="H97" s="20">
        <f t="shared" si="19"/>
        <v>0</v>
      </c>
      <c r="I97" s="20">
        <f t="shared" si="20"/>
        <v>0</v>
      </c>
      <c r="K97" s="20">
        <f t="shared" si="21"/>
        <v>0</v>
      </c>
      <c r="L97" s="20">
        <f t="shared" si="23"/>
        <v>0</v>
      </c>
    </row>
    <row r="98" spans="1:12">
      <c r="A98" s="20" t="s">
        <v>983</v>
      </c>
      <c r="B98" s="20">
        <f t="shared" si="13"/>
        <v>0</v>
      </c>
      <c r="C98" s="20">
        <f t="shared" si="14"/>
        <v>0</v>
      </c>
      <c r="D98" s="20">
        <f t="shared" si="15"/>
        <v>0</v>
      </c>
      <c r="E98" s="20">
        <f t="shared" si="16"/>
        <v>0</v>
      </c>
      <c r="F98" s="20">
        <f t="shared" si="17"/>
        <v>0</v>
      </c>
      <c r="G98" s="20">
        <f t="shared" si="18"/>
        <v>0</v>
      </c>
      <c r="H98" s="20">
        <f t="shared" si="19"/>
        <v>0</v>
      </c>
      <c r="I98" s="20">
        <f t="shared" si="20"/>
        <v>0</v>
      </c>
      <c r="K98" s="20">
        <f t="shared" si="21"/>
        <v>0</v>
      </c>
      <c r="L98" s="20">
        <f t="shared" si="23"/>
        <v>0</v>
      </c>
    </row>
    <row r="99" spans="1:12">
      <c r="A99" s="35" t="s">
        <v>984</v>
      </c>
      <c r="B99" s="20">
        <f t="shared" si="13"/>
        <v>0</v>
      </c>
      <c r="C99" s="20">
        <f t="shared" si="14"/>
        <v>0</v>
      </c>
      <c r="D99" s="20">
        <f t="shared" si="15"/>
        <v>0</v>
      </c>
      <c r="E99" s="20">
        <f t="shared" si="16"/>
        <v>0</v>
      </c>
      <c r="F99" s="20">
        <f t="shared" si="17"/>
        <v>0</v>
      </c>
      <c r="G99" s="20">
        <f t="shared" si="18"/>
        <v>0</v>
      </c>
      <c r="H99" s="20">
        <f t="shared" si="19"/>
        <v>0</v>
      </c>
      <c r="I99" s="20">
        <f t="shared" si="20"/>
        <v>0</v>
      </c>
      <c r="K99" s="20">
        <f t="shared" si="21"/>
        <v>0</v>
      </c>
      <c r="L99" s="20">
        <f t="shared" si="23"/>
        <v>0</v>
      </c>
    </row>
    <row r="100" spans="1:9">
      <c r="A100" s="20" t="s">
        <v>985</v>
      </c>
      <c r="B100" s="20">
        <f t="shared" si="13"/>
        <v>0</v>
      </c>
      <c r="C100" s="20">
        <f t="shared" si="14"/>
        <v>0</v>
      </c>
      <c r="D100" s="20">
        <f t="shared" si="15"/>
        <v>0</v>
      </c>
      <c r="E100" s="20">
        <f t="shared" si="16"/>
        <v>0</v>
      </c>
      <c r="F100" s="20">
        <f t="shared" si="17"/>
        <v>0</v>
      </c>
      <c r="G100" s="20">
        <f t="shared" si="18"/>
        <v>0</v>
      </c>
      <c r="H100" s="20">
        <f t="shared" si="19"/>
        <v>0</v>
      </c>
      <c r="I100" s="20">
        <f t="shared" si="20"/>
        <v>0</v>
      </c>
    </row>
    <row r="101" spans="9:9">
      <c r="I101" s="20">
        <f>INT(SUM(B71:I100)+(SUM(B71:I100)*8/35*1%*30%+SUM(B71:I100)*8/35*5%*70%)*额外增益统计!D168)</f>
        <v>218199002</v>
      </c>
    </row>
  </sheetData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1"/>
  <sheetViews>
    <sheetView workbookViewId="0">
      <pane xSplit="1" ySplit="1" topLeftCell="B50" activePane="bottomRight" state="frozen"/>
      <selection/>
      <selection pane="topRight"/>
      <selection pane="bottomLeft"/>
      <selection pane="bottomRight" activeCell="B55" sqref="B55"/>
    </sheetView>
  </sheetViews>
  <sheetFormatPr defaultColWidth="9.64166666666667" defaultRowHeight="13.5"/>
  <cols>
    <col min="1" max="1" width="17.25" style="20" customWidth="1"/>
    <col min="2" max="6" width="12.625" style="20"/>
    <col min="7" max="7" width="11.375" style="20" customWidth="1"/>
    <col min="8" max="8" width="9.75" style="20" customWidth="1"/>
    <col min="9" max="9" width="12.875" style="20" customWidth="1"/>
    <col min="10" max="10" width="11.25" style="20" customWidth="1"/>
    <col min="11" max="11" width="12.875" style="20" customWidth="1"/>
    <col min="12" max="12" width="10" style="20" customWidth="1"/>
    <col min="13" max="13" width="14.25" style="20" customWidth="1"/>
    <col min="14" max="14" width="8.875" style="20" customWidth="1"/>
    <col min="15" max="15" width="11.125" style="20" customWidth="1"/>
    <col min="16" max="19" width="12.875" style="20" customWidth="1"/>
    <col min="20" max="20" width="15" style="20" customWidth="1"/>
    <col min="21" max="21" width="12.875" style="20" customWidth="1"/>
    <col min="22" max="27" width="12.625" style="20"/>
    <col min="28" max="28" width="17.125" style="20" customWidth="1"/>
    <col min="29" max="30" width="12.625" style="20"/>
    <col min="31" max="31" width="19.125" style="20" customWidth="1"/>
    <col min="32" max="32" width="13.125" style="20" customWidth="1"/>
    <col min="33" max="33" width="16.25" style="20" customWidth="1"/>
    <col min="34" max="34" width="22.25" style="20" customWidth="1"/>
    <col min="35" max="37" width="12.875" style="20" customWidth="1"/>
    <col min="38" max="38" width="17.125" style="20" customWidth="1"/>
    <col min="39" max="39" width="21.5" style="20" customWidth="1"/>
    <col min="40" max="40" width="11" style="20" customWidth="1"/>
    <col min="41" max="41" width="9" style="20" customWidth="1"/>
    <col min="42" max="16384" width="9.64166666666667" style="20"/>
  </cols>
  <sheetData>
    <row r="1" spans="1:40">
      <c r="A1" s="20">
        <f>'伤害统计(理想)'!A1</f>
        <v>0</v>
      </c>
      <c r="B1" s="20" t="str">
        <f>'伤害统计(理想)'!B1</f>
        <v>基础伤害</v>
      </c>
      <c r="C1" s="20" t="str">
        <f>'伤害统计(理想)'!C1</f>
        <v>基础攻击力</v>
      </c>
      <c r="D1" s="20" t="str">
        <f>'伤害统计(理想)'!D1</f>
        <v>攻击力</v>
      </c>
      <c r="E1" s="20" t="str">
        <f>'伤害统计(理想)'!E1</f>
        <v>攻击系数</v>
      </c>
      <c r="F1" s="20" t="str">
        <f>'伤害统计(理想)'!F1</f>
        <v>技改系数</v>
      </c>
      <c r="G1" s="20" t="str">
        <f>'伤害统计(理想)'!G1</f>
        <v>秘籍加成</v>
      </c>
      <c r="H1" s="20" t="str">
        <f>'伤害统计(理想)'!H1</f>
        <v>奇穴加成</v>
      </c>
      <c r="I1" s="20" t="str">
        <f>'伤害统计(理想)'!I1</f>
        <v>非侠加成</v>
      </c>
      <c r="J1" s="20" t="str">
        <f>'伤害统计(理想)'!J1</f>
        <v>破防值</v>
      </c>
      <c r="K1" s="20" t="str">
        <f>'伤害统计(理想)'!K1</f>
        <v>腰坠破防加成</v>
      </c>
      <c r="L1" s="20" t="str">
        <f>'伤害统计(理想)'!L1</f>
        <v>防御值</v>
      </c>
      <c r="M1" s="20" t="str">
        <f>'伤害统计(理想)'!M1</f>
        <v>无双</v>
      </c>
      <c r="N1" s="20" t="str">
        <f>'伤害统计(理想)'!N1</f>
        <v>等级压制</v>
      </c>
      <c r="O1" s="20" t="str">
        <f>'伤害统计(理想)'!O1</f>
        <v>会心</v>
      </c>
      <c r="P1" s="20" t="str">
        <f>'伤害统计(理想)'!P1</f>
        <v>奇穴会心加成</v>
      </c>
      <c r="Q1" s="20" t="str">
        <f>'伤害统计(理想)'!Q1</f>
        <v>常规最终会心</v>
      </c>
      <c r="R1" s="20" t="str">
        <f>'伤害统计(理想)'!R1</f>
        <v>紫气会心加成</v>
      </c>
      <c r="S1" s="20" t="str">
        <f>'伤害统计(理想)'!S1</f>
        <v>紫气最终会心</v>
      </c>
      <c r="T1" s="20" t="str">
        <f>'伤害统计(理想)'!T1</f>
        <v>会效</v>
      </c>
      <c r="U1" s="20" t="str">
        <f>'伤害统计(理想)'!U1</f>
        <v>奇穴会效加成</v>
      </c>
      <c r="V1" s="20" t="str">
        <f>'伤害统计(理想)'!V1</f>
        <v>常规最终会效</v>
      </c>
      <c r="W1" s="20" t="str">
        <f>'伤害统计(理想)'!W1</f>
        <v>厚亡会效加成</v>
      </c>
      <c r="X1" s="20" t="str">
        <f>'伤害统计(理想)'!X1</f>
        <v>厚亡最终会效</v>
      </c>
      <c r="Y1" s="20" t="str">
        <f>'伤害统计(理想)'!Y1</f>
        <v>紫气会效加成</v>
      </c>
      <c r="Z1" s="20" t="str">
        <f>'伤害统计(理想)'!Z1</f>
        <v>紫气最终会效</v>
      </c>
      <c r="AA1" s="20" t="str">
        <f>'伤害统计(理想)'!AA1</f>
        <v>会神会效加成</v>
      </c>
      <c r="AB1" s="20" t="str">
        <f>'伤害统计(理想)'!AB1</f>
        <v>会神紫气最终会效</v>
      </c>
      <c r="AC1" s="20" t="s">
        <v>947</v>
      </c>
      <c r="AD1" s="20" t="s">
        <v>948</v>
      </c>
      <c r="AE1" s="20" t="s">
        <v>949</v>
      </c>
      <c r="AF1" s="20" t="s">
        <v>950</v>
      </c>
      <c r="AG1" s="20" t="s">
        <v>951</v>
      </c>
      <c r="AH1" s="20" t="s">
        <v>952</v>
      </c>
      <c r="AI1" s="20" t="s">
        <v>953</v>
      </c>
      <c r="AJ1" s="20" t="s">
        <v>954</v>
      </c>
      <c r="AK1" s="20" t="s">
        <v>955</v>
      </c>
      <c r="AL1" s="20" t="s">
        <v>956</v>
      </c>
      <c r="AM1" s="20" t="s">
        <v>957</v>
      </c>
      <c r="AN1" s="20" t="s">
        <v>958</v>
      </c>
    </row>
    <row r="2" spans="1:40">
      <c r="A2" s="20" t="str">
        <f>'伤害统计(理想)'!A2</f>
        <v>万世二段</v>
      </c>
      <c r="B2" s="20">
        <f>'伤害统计(理想)'!B2</f>
        <v>1189</v>
      </c>
      <c r="C2" s="20">
        <f>'伤害统计(理想)'!C2</f>
        <v>34400</v>
      </c>
      <c r="D2" s="20">
        <f>'伤害统计(理想)'!D2</f>
        <v>45792</v>
      </c>
      <c r="E2" s="20">
        <f>'伤害统计(理想)'!E2</f>
        <v>2.4325</v>
      </c>
      <c r="F2" s="20">
        <f>'伤害统计(理想)'!F2</f>
        <v>1</v>
      </c>
      <c r="G2" s="20">
        <f>'伤害统计(理想)'!G2</f>
        <v>0.12</v>
      </c>
      <c r="H2" s="20">
        <f>'伤害统计(理想)'!H2</f>
        <v>0.1</v>
      </c>
      <c r="I2" s="20">
        <f>'伤害统计(理想)'!I2</f>
        <v>1.35</v>
      </c>
      <c r="J2" s="20">
        <f>'伤害统计(理想)'!J2</f>
        <v>0.472</v>
      </c>
      <c r="K2" s="20">
        <f>'伤害统计(理想)'!K2</f>
        <v>0.1181</v>
      </c>
      <c r="L2" s="20">
        <f>'伤害统计(理想)'!L2</f>
        <v>0.177214436704937</v>
      </c>
      <c r="M2" s="8">
        <f>'伤害统计(理想)'!M2+'属性收益计算&amp;备注'!AA15</f>
        <v>0.349753</v>
      </c>
      <c r="N2" s="20">
        <f>'伤害统计(理想)'!N2</f>
        <v>0.2</v>
      </c>
      <c r="O2" s="20">
        <f>'伤害统计(理想)'!O2</f>
        <v>0.4994</v>
      </c>
      <c r="P2" s="20">
        <f>'伤害统计(理想)'!P2</f>
        <v>0</v>
      </c>
      <c r="Q2" s="20">
        <f>'伤害统计(理想)'!Q2</f>
        <v>0.4994</v>
      </c>
      <c r="R2" s="20">
        <f>'伤害统计(理想)'!R2</f>
        <v>0.2441</v>
      </c>
      <c r="S2" s="20">
        <f>'伤害统计(理想)'!S2</f>
        <v>0.7435</v>
      </c>
      <c r="T2" s="20">
        <f>'伤害统计(理想)'!T2</f>
        <v>2.0895</v>
      </c>
      <c r="U2" s="20">
        <f>'伤害统计(理想)'!U2</f>
        <v>0</v>
      </c>
      <c r="V2" s="20">
        <f>'伤害统计(理想)'!V2</f>
        <v>2.0895</v>
      </c>
      <c r="W2" s="20">
        <f>'伤害统计(理想)'!W2</f>
        <v>0.2441</v>
      </c>
      <c r="X2" s="20">
        <f>'伤害统计(理想)'!X2</f>
        <v>2.3336</v>
      </c>
      <c r="Y2" s="20">
        <f>'伤害统计(理想)'!Y2</f>
        <v>0.2441</v>
      </c>
      <c r="Z2" s="20">
        <f>'伤害统计(理想)'!Z2</f>
        <v>2.3336</v>
      </c>
      <c r="AA2" s="20">
        <f>'伤害统计(理想)'!AA2</f>
        <v>0.1953</v>
      </c>
      <c r="AB2" s="20">
        <f>'伤害统计(理想)'!AB2</f>
        <v>2.5289</v>
      </c>
      <c r="AC2" s="20">
        <f t="shared" ref="AC2:AC32" si="0">INT(INT(B2+D2*E2)*F2*(1+G2+H2)*(1+I2)*(1+J2)*(1-L2)*(1+M2)*(1-N2))</f>
        <v>422104</v>
      </c>
      <c r="AD2" s="20">
        <f t="shared" ref="AD2:AD32" si="1">INT((B2+(D2+C2*50%)*E2)*F2*(1+G2+H2)*(1+I2)*(1+J2)*(1-L2)*(1+M2)*(1-N2))</f>
        <v>578977</v>
      </c>
      <c r="AE2" s="20">
        <f t="shared" ref="AE2:AE32" si="2">INT((B2+(D2+C2*50%)*E2)*F2*(1+G2+H2)*(1+I2)*(1+J2+K2)*(1-L2)*(1+M2)*(1-N2))</f>
        <v>625429</v>
      </c>
      <c r="AF2" s="20">
        <f t="shared" ref="AF2:AF32" si="3">INT(AC2*V2)</f>
        <v>881986</v>
      </c>
      <c r="AG2" s="20">
        <f t="shared" ref="AG2:AG32" si="4">INT(AD2*Z2)</f>
        <v>1351100</v>
      </c>
      <c r="AH2" s="20">
        <f>INT(AE2*Z2)</f>
        <v>1459501</v>
      </c>
      <c r="AI2" s="20">
        <f t="shared" ref="AI2:AI32" si="5">INT((B2+(D2+C2*25%)*E2)*F2*(1+G2+H2)*(1+I2)*(1+J2)*(1-L2)*(1+M2)*(1-N2))</f>
        <v>500541</v>
      </c>
      <c r="AJ2" s="20">
        <f t="shared" ref="AJ2:AJ32" si="6">INT(AI2*X2)</f>
        <v>1168062</v>
      </c>
      <c r="AK2" s="20">
        <f t="shared" ref="AK2:AK32" si="7">INT((B2+(D2+C2*25%)*E2)*F2*(1+G2+H2)*(1+I2)*(1+J2+K2)*(1-L2)*(1+M2)*(1-N2))</f>
        <v>540699</v>
      </c>
      <c r="AL2" s="20">
        <f t="shared" ref="AL2:AL32" si="8">INT(AK2*X2)</f>
        <v>1261775</v>
      </c>
      <c r="AM2" s="20">
        <f t="shared" ref="AM2:AM32" si="9">INT(AD2*AB2)</f>
        <v>1464174</v>
      </c>
      <c r="AN2" s="20">
        <f t="shared" ref="AN2:AN32" si="10">INT(AE2*AB2)</f>
        <v>1581647</v>
      </c>
    </row>
    <row r="3" spans="1:40">
      <c r="A3" s="20" t="str">
        <f>'伤害统计(理想)'!A3</f>
        <v>飞剑1</v>
      </c>
      <c r="B3" s="20">
        <f>'伤害统计(理想)'!B3</f>
        <v>50</v>
      </c>
      <c r="C3" s="20">
        <f>'伤害统计(理想)'!C3</f>
        <v>34400</v>
      </c>
      <c r="D3" s="20">
        <f>'伤害统计(理想)'!D3</f>
        <v>45792</v>
      </c>
      <c r="E3" s="20">
        <f>'伤害统计(理想)'!E3</f>
        <v>0.286996875</v>
      </c>
      <c r="F3" s="20">
        <f>'伤害统计(理想)'!F3</f>
        <v>1</v>
      </c>
      <c r="G3" s="20">
        <f>'伤害统计(理想)'!G3</f>
        <v>0.12</v>
      </c>
      <c r="H3" s="20">
        <f>'伤害统计(理想)'!H3</f>
        <v>0.1</v>
      </c>
      <c r="I3" s="20">
        <f>'伤害统计(理想)'!I3</f>
        <v>1.35</v>
      </c>
      <c r="J3" s="20">
        <f>'伤害统计(理想)'!J3</f>
        <v>0.472</v>
      </c>
      <c r="K3" s="20">
        <f>'伤害统计(理想)'!K3</f>
        <v>0.1181</v>
      </c>
      <c r="L3" s="20">
        <f>'伤害统计(理想)'!L3</f>
        <v>0.177214436704937</v>
      </c>
      <c r="M3" s="8">
        <f>M2</f>
        <v>0.349753</v>
      </c>
      <c r="N3" s="20">
        <f>'伤害统计(理想)'!N3</f>
        <v>0.2</v>
      </c>
      <c r="O3" s="20">
        <f>'伤害统计(理想)'!O3</f>
        <v>0.4994</v>
      </c>
      <c r="P3" s="20">
        <f>'伤害统计(理想)'!P3</f>
        <v>0</v>
      </c>
      <c r="Q3" s="20">
        <f>'伤害统计(理想)'!Q3</f>
        <v>0.4994</v>
      </c>
      <c r="R3" s="20">
        <f>'伤害统计(理想)'!R3</f>
        <v>0.2441</v>
      </c>
      <c r="S3" s="20">
        <f>'伤害统计(理想)'!S3</f>
        <v>0.7435</v>
      </c>
      <c r="T3" s="20">
        <f>'伤害统计(理想)'!T3</f>
        <v>2.0895</v>
      </c>
      <c r="U3" s="20">
        <f>'伤害统计(理想)'!U3</f>
        <v>0</v>
      </c>
      <c r="V3" s="20">
        <f>'伤害统计(理想)'!V3</f>
        <v>2.0895</v>
      </c>
      <c r="W3" s="20">
        <f>'伤害统计(理想)'!W3</f>
        <v>0.2441</v>
      </c>
      <c r="X3" s="20">
        <f>'伤害统计(理想)'!X3</f>
        <v>2.3336</v>
      </c>
      <c r="Y3" s="20">
        <f>'伤害统计(理想)'!Y3</f>
        <v>0.2441</v>
      </c>
      <c r="Z3" s="20">
        <f>'伤害统计(理想)'!Z3</f>
        <v>2.3336</v>
      </c>
      <c r="AA3" s="20">
        <f>'伤害统计(理想)'!AA3</f>
        <v>0.1953</v>
      </c>
      <c r="AB3" s="20">
        <f>'伤害统计(理想)'!AB3</f>
        <v>2.5289</v>
      </c>
      <c r="AC3" s="20">
        <f t="shared" si="0"/>
        <v>49462</v>
      </c>
      <c r="AD3" s="20">
        <f t="shared" si="1"/>
        <v>67971</v>
      </c>
      <c r="AE3" s="20">
        <f t="shared" si="2"/>
        <v>73425</v>
      </c>
      <c r="AF3" s="20">
        <f t="shared" si="3"/>
        <v>103350</v>
      </c>
      <c r="AG3" s="20">
        <f t="shared" si="4"/>
        <v>158617</v>
      </c>
      <c r="AH3" s="20">
        <f>INT(AE3*(T3+U3+0.4441+按提示输入属性!D64*0.1953))</f>
        <v>200369</v>
      </c>
      <c r="AI3" s="20">
        <f t="shared" si="5"/>
        <v>58717</v>
      </c>
      <c r="AJ3" s="20">
        <f t="shared" si="6"/>
        <v>137021</v>
      </c>
      <c r="AK3" s="20">
        <f t="shared" si="7"/>
        <v>63428</v>
      </c>
      <c r="AL3" s="20">
        <f t="shared" si="8"/>
        <v>148015</v>
      </c>
      <c r="AM3" s="20">
        <f t="shared" si="9"/>
        <v>171891</v>
      </c>
      <c r="AN3" s="20">
        <f t="shared" si="10"/>
        <v>185684</v>
      </c>
    </row>
    <row r="4" spans="1:40">
      <c r="A4" s="20" t="str">
        <f>'伤害统计(理想)'!A4</f>
        <v>飞剑2</v>
      </c>
      <c r="B4" s="20">
        <f>'伤害统计(理想)'!B4</f>
        <v>50</v>
      </c>
      <c r="C4" s="20">
        <f>'伤害统计(理想)'!C4</f>
        <v>34400</v>
      </c>
      <c r="D4" s="20">
        <f>'伤害统计(理想)'!D4</f>
        <v>45792</v>
      </c>
      <c r="E4" s="20">
        <f>'伤害统计(理想)'!E4</f>
        <v>0.286996875</v>
      </c>
      <c r="F4" s="20">
        <f>'伤害统计(理想)'!F4</f>
        <v>1</v>
      </c>
      <c r="G4" s="20">
        <f>'伤害统计(理想)'!G4</f>
        <v>0.12</v>
      </c>
      <c r="H4" s="20">
        <f>'伤害统计(理想)'!H4</f>
        <v>0.25</v>
      </c>
      <c r="I4" s="20">
        <f>'伤害统计(理想)'!I4</f>
        <v>1.35</v>
      </c>
      <c r="J4" s="20">
        <f>'伤害统计(理想)'!J4</f>
        <v>0.472</v>
      </c>
      <c r="K4" s="20">
        <f>'伤害统计(理想)'!K4</f>
        <v>0.1181</v>
      </c>
      <c r="L4" s="20">
        <f>'伤害统计(理想)'!L4</f>
        <v>0.177214436704937</v>
      </c>
      <c r="M4" s="8">
        <f>M2</f>
        <v>0.349753</v>
      </c>
      <c r="N4" s="20">
        <f>'伤害统计(理想)'!N4</f>
        <v>0.2</v>
      </c>
      <c r="O4" s="20">
        <f>'伤害统计(理想)'!O4</f>
        <v>0.4994</v>
      </c>
      <c r="P4" s="20">
        <f>'伤害统计(理想)'!P4</f>
        <v>0</v>
      </c>
      <c r="Q4" s="20">
        <f>'伤害统计(理想)'!Q4</f>
        <v>0.4994</v>
      </c>
      <c r="R4" s="20">
        <f>'伤害统计(理想)'!R4</f>
        <v>0.2441</v>
      </c>
      <c r="S4" s="20">
        <f>'伤害统计(理想)'!S4</f>
        <v>0.7435</v>
      </c>
      <c r="T4" s="20">
        <f>'伤害统计(理想)'!T4</f>
        <v>2.0895</v>
      </c>
      <c r="U4" s="20">
        <f>'伤害统计(理想)'!U4</f>
        <v>0</v>
      </c>
      <c r="V4" s="20">
        <f>'伤害统计(理想)'!V4</f>
        <v>2.0895</v>
      </c>
      <c r="W4" s="20">
        <f>'伤害统计(理想)'!W4</f>
        <v>0.2441</v>
      </c>
      <c r="X4" s="20">
        <f>'伤害统计(理想)'!X4</f>
        <v>2.3336</v>
      </c>
      <c r="Y4" s="20">
        <f>'伤害统计(理想)'!Y4</f>
        <v>0.2441</v>
      </c>
      <c r="Z4" s="20">
        <f>'伤害统计(理想)'!Z4</f>
        <v>2.3336</v>
      </c>
      <c r="AA4" s="20">
        <f>'伤害统计(理想)'!AA4</f>
        <v>0.1953</v>
      </c>
      <c r="AB4" s="20">
        <f>'伤害统计(理想)'!AB4</f>
        <v>2.5289</v>
      </c>
      <c r="AC4" s="20">
        <f t="shared" si="0"/>
        <v>55544</v>
      </c>
      <c r="AD4" s="20">
        <f t="shared" si="1"/>
        <v>76328</v>
      </c>
      <c r="AE4" s="20">
        <f t="shared" si="2"/>
        <v>82452</v>
      </c>
      <c r="AF4" s="20">
        <f t="shared" si="3"/>
        <v>116059</v>
      </c>
      <c r="AG4" s="20">
        <f t="shared" si="4"/>
        <v>178119</v>
      </c>
      <c r="AH4" s="20">
        <f>INT(AE4*(T4+U4+0.4441+按提示输入属性!D64*0.1953))</f>
        <v>225003</v>
      </c>
      <c r="AI4" s="20">
        <f t="shared" si="5"/>
        <v>65936</v>
      </c>
      <c r="AJ4" s="20">
        <f t="shared" si="6"/>
        <v>153868</v>
      </c>
      <c r="AK4" s="20">
        <f t="shared" si="7"/>
        <v>71227</v>
      </c>
      <c r="AL4" s="20">
        <f t="shared" si="8"/>
        <v>166215</v>
      </c>
      <c r="AM4" s="20">
        <f t="shared" si="9"/>
        <v>193025</v>
      </c>
      <c r="AN4" s="20">
        <f t="shared" si="10"/>
        <v>208512</v>
      </c>
    </row>
    <row r="5" spans="1:40">
      <c r="A5" s="20" t="str">
        <f>'伤害统计(理想)'!A5</f>
        <v>飞剑3</v>
      </c>
      <c r="B5" s="20">
        <f>'伤害统计(理想)'!B5</f>
        <v>50</v>
      </c>
      <c r="C5" s="20">
        <f>'伤害统计(理想)'!C5</f>
        <v>34400</v>
      </c>
      <c r="D5" s="20">
        <f>'伤害统计(理想)'!D5</f>
        <v>45792</v>
      </c>
      <c r="E5" s="20">
        <f>'伤害统计(理想)'!E5</f>
        <v>0.286996875</v>
      </c>
      <c r="F5" s="20">
        <f>'伤害统计(理想)'!F5</f>
        <v>1</v>
      </c>
      <c r="G5" s="20">
        <f>'伤害统计(理想)'!G5</f>
        <v>0.12</v>
      </c>
      <c r="H5" s="20">
        <f>'伤害统计(理想)'!H5</f>
        <v>0.4</v>
      </c>
      <c r="I5" s="20">
        <f>'伤害统计(理想)'!I5</f>
        <v>1.35</v>
      </c>
      <c r="J5" s="20">
        <f>'伤害统计(理想)'!J5</f>
        <v>0.472</v>
      </c>
      <c r="K5" s="20">
        <f>'伤害统计(理想)'!K5</f>
        <v>0.1181</v>
      </c>
      <c r="L5" s="20">
        <f>'伤害统计(理想)'!L5</f>
        <v>0.177214436704937</v>
      </c>
      <c r="M5" s="8">
        <f>M2</f>
        <v>0.349753</v>
      </c>
      <c r="N5" s="20">
        <f>'伤害统计(理想)'!N5</f>
        <v>0.2</v>
      </c>
      <c r="O5" s="20">
        <f>'伤害统计(理想)'!O5</f>
        <v>0.4994</v>
      </c>
      <c r="P5" s="20">
        <f>'伤害统计(理想)'!P5</f>
        <v>0</v>
      </c>
      <c r="Q5" s="20">
        <f>'伤害统计(理想)'!Q5</f>
        <v>0.4994</v>
      </c>
      <c r="R5" s="20">
        <f>'伤害统计(理想)'!R5</f>
        <v>0.2441</v>
      </c>
      <c r="S5" s="20">
        <f>'伤害统计(理想)'!S5</f>
        <v>0.7435</v>
      </c>
      <c r="T5" s="20">
        <f>'伤害统计(理想)'!T5</f>
        <v>2.0895</v>
      </c>
      <c r="U5" s="20">
        <f>'伤害统计(理想)'!U5</f>
        <v>0</v>
      </c>
      <c r="V5" s="20">
        <f>'伤害统计(理想)'!V5</f>
        <v>2.0895</v>
      </c>
      <c r="W5" s="20">
        <f>'伤害统计(理想)'!W5</f>
        <v>0.2441</v>
      </c>
      <c r="X5" s="20">
        <f>'伤害统计(理想)'!X5</f>
        <v>2.3336</v>
      </c>
      <c r="Y5" s="20">
        <f>'伤害统计(理想)'!Y5</f>
        <v>0.2441</v>
      </c>
      <c r="Z5" s="20">
        <f>'伤害统计(理想)'!Z5</f>
        <v>2.3336</v>
      </c>
      <c r="AA5" s="20">
        <f>'伤害统计(理想)'!AA5</f>
        <v>0.1953</v>
      </c>
      <c r="AB5" s="20">
        <f>'伤害统计(理想)'!AB5</f>
        <v>2.5289</v>
      </c>
      <c r="AC5" s="20">
        <f t="shared" si="0"/>
        <v>61625</v>
      </c>
      <c r="AD5" s="20">
        <f t="shared" si="1"/>
        <v>84686</v>
      </c>
      <c r="AE5" s="20">
        <f t="shared" si="2"/>
        <v>91480</v>
      </c>
      <c r="AF5" s="20">
        <f t="shared" si="3"/>
        <v>128765</v>
      </c>
      <c r="AG5" s="20">
        <f t="shared" si="4"/>
        <v>197623</v>
      </c>
      <c r="AH5" s="20">
        <f>INT(AE5*(T5+U5+0.4441+按提示输入属性!D64*0.1953))</f>
        <v>249639</v>
      </c>
      <c r="AI5" s="20">
        <f t="shared" si="5"/>
        <v>73156</v>
      </c>
      <c r="AJ5" s="20">
        <f t="shared" si="6"/>
        <v>170716</v>
      </c>
      <c r="AK5" s="20">
        <f t="shared" si="7"/>
        <v>79025</v>
      </c>
      <c r="AL5" s="20">
        <f t="shared" si="8"/>
        <v>184412</v>
      </c>
      <c r="AM5" s="20">
        <f t="shared" si="9"/>
        <v>214162</v>
      </c>
      <c r="AN5" s="20">
        <f t="shared" si="10"/>
        <v>231343</v>
      </c>
    </row>
    <row r="6" spans="1:40">
      <c r="A6" s="20" t="str">
        <f>'伤害统计(理想)'!A6</f>
        <v>飞剑4</v>
      </c>
      <c r="B6" s="20">
        <f>'伤害统计(理想)'!B6</f>
        <v>50</v>
      </c>
      <c r="C6" s="20">
        <f>'伤害统计(理想)'!C6</f>
        <v>34400</v>
      </c>
      <c r="D6" s="20">
        <f>'伤害统计(理想)'!D6</f>
        <v>45792</v>
      </c>
      <c r="E6" s="20">
        <f>'伤害统计(理想)'!E6</f>
        <v>0.286996875</v>
      </c>
      <c r="F6" s="20">
        <f>'伤害统计(理想)'!F6</f>
        <v>1</v>
      </c>
      <c r="G6" s="20">
        <f>'伤害统计(理想)'!G6</f>
        <v>0.12</v>
      </c>
      <c r="H6" s="20">
        <f>'伤害统计(理想)'!H6</f>
        <v>0.55</v>
      </c>
      <c r="I6" s="20">
        <f>'伤害统计(理想)'!I6</f>
        <v>1.35</v>
      </c>
      <c r="J6" s="20">
        <f>'伤害统计(理想)'!J6</f>
        <v>0.472</v>
      </c>
      <c r="K6" s="20">
        <f>'伤害统计(理想)'!K6</f>
        <v>0.1181</v>
      </c>
      <c r="L6" s="20">
        <f>'伤害统计(理想)'!L6</f>
        <v>0.177214436704937</v>
      </c>
      <c r="M6" s="8">
        <f>M2</f>
        <v>0.349753</v>
      </c>
      <c r="N6" s="20">
        <f>'伤害统计(理想)'!N6</f>
        <v>0.2</v>
      </c>
      <c r="O6" s="20">
        <f>'伤害统计(理想)'!O6</f>
        <v>0.4994</v>
      </c>
      <c r="P6" s="20">
        <f>'伤害统计(理想)'!P6</f>
        <v>0</v>
      </c>
      <c r="Q6" s="20">
        <f>'伤害统计(理想)'!Q6</f>
        <v>0.4994</v>
      </c>
      <c r="R6" s="20">
        <f>'伤害统计(理想)'!R6</f>
        <v>0.2441</v>
      </c>
      <c r="S6" s="20">
        <f>'伤害统计(理想)'!S6</f>
        <v>0.7435</v>
      </c>
      <c r="T6" s="20">
        <f>'伤害统计(理想)'!T6</f>
        <v>2.0895</v>
      </c>
      <c r="U6" s="20">
        <f>'伤害统计(理想)'!U6</f>
        <v>0</v>
      </c>
      <c r="V6" s="20">
        <f>'伤害统计(理想)'!V6</f>
        <v>2.0895</v>
      </c>
      <c r="W6" s="20">
        <f>'伤害统计(理想)'!W6</f>
        <v>0.2441</v>
      </c>
      <c r="X6" s="20">
        <f>'伤害统计(理想)'!X6</f>
        <v>2.3336</v>
      </c>
      <c r="Y6" s="20">
        <f>'伤害统计(理想)'!Y6</f>
        <v>0.2441</v>
      </c>
      <c r="Z6" s="20">
        <f>'伤害统计(理想)'!Z6</f>
        <v>2.3336</v>
      </c>
      <c r="AA6" s="20">
        <f>'伤害统计(理想)'!AA6</f>
        <v>0.1953</v>
      </c>
      <c r="AB6" s="20">
        <f>'伤害统计(理想)'!AB6</f>
        <v>2.5289</v>
      </c>
      <c r="AC6" s="20">
        <f t="shared" si="0"/>
        <v>67707</v>
      </c>
      <c r="AD6" s="20">
        <f t="shared" si="1"/>
        <v>93043</v>
      </c>
      <c r="AE6" s="20">
        <f t="shared" si="2"/>
        <v>100508</v>
      </c>
      <c r="AF6" s="20">
        <f t="shared" si="3"/>
        <v>141473</v>
      </c>
      <c r="AG6" s="20">
        <f t="shared" si="4"/>
        <v>217125</v>
      </c>
      <c r="AH6" s="20">
        <f>INT(AE6*(T6+U6+0.4441+按提示输入属性!D64*0.1953))</f>
        <v>274276</v>
      </c>
      <c r="AI6" s="20">
        <f t="shared" si="5"/>
        <v>80375</v>
      </c>
      <c r="AJ6" s="20">
        <f t="shared" si="6"/>
        <v>187563</v>
      </c>
      <c r="AK6" s="20">
        <f t="shared" si="7"/>
        <v>86824</v>
      </c>
      <c r="AL6" s="20">
        <f t="shared" si="8"/>
        <v>202612</v>
      </c>
      <c r="AM6" s="20">
        <f t="shared" si="9"/>
        <v>235296</v>
      </c>
      <c r="AN6" s="20">
        <f t="shared" si="10"/>
        <v>254174</v>
      </c>
    </row>
    <row r="7" spans="1:40">
      <c r="A7" s="20" t="str">
        <f>'伤害统计(理想)'!A7</f>
        <v>飞剑5</v>
      </c>
      <c r="B7" s="20">
        <f>'伤害统计(理想)'!B7</f>
        <v>50</v>
      </c>
      <c r="C7" s="20">
        <f>'伤害统计(理想)'!C7</f>
        <v>34400</v>
      </c>
      <c r="D7" s="20">
        <f>'伤害统计(理想)'!D7</f>
        <v>45792</v>
      </c>
      <c r="E7" s="20">
        <f>'伤害统计(理想)'!E7</f>
        <v>0.286996875</v>
      </c>
      <c r="F7" s="20">
        <f>'伤害统计(理想)'!F7</f>
        <v>1</v>
      </c>
      <c r="G7" s="20">
        <f>'伤害统计(理想)'!G7</f>
        <v>0.12</v>
      </c>
      <c r="H7" s="20">
        <f>'伤害统计(理想)'!H7</f>
        <v>0.7</v>
      </c>
      <c r="I7" s="20">
        <f>'伤害统计(理想)'!I7</f>
        <v>1.35</v>
      </c>
      <c r="J7" s="20">
        <f>'伤害统计(理想)'!J7</f>
        <v>0.472</v>
      </c>
      <c r="K7" s="20">
        <f>'伤害统计(理想)'!K7</f>
        <v>0.1181</v>
      </c>
      <c r="L7" s="20">
        <f>'伤害统计(理想)'!L7</f>
        <v>0.177214436704937</v>
      </c>
      <c r="M7" s="8">
        <f>M2</f>
        <v>0.349753</v>
      </c>
      <c r="N7" s="20">
        <f>'伤害统计(理想)'!N7</f>
        <v>0.2</v>
      </c>
      <c r="O7" s="20">
        <f>'伤害统计(理想)'!O7</f>
        <v>0.4994</v>
      </c>
      <c r="P7" s="20">
        <f>'伤害统计(理想)'!P7</f>
        <v>0</v>
      </c>
      <c r="Q7" s="20">
        <f>'伤害统计(理想)'!Q7</f>
        <v>0.4994</v>
      </c>
      <c r="R7" s="20">
        <f>'伤害统计(理想)'!R7</f>
        <v>0.2441</v>
      </c>
      <c r="S7" s="20">
        <f>'伤害统计(理想)'!S7</f>
        <v>0.7435</v>
      </c>
      <c r="T7" s="20">
        <f>'伤害统计(理想)'!T7</f>
        <v>2.0895</v>
      </c>
      <c r="U7" s="20">
        <f>'伤害统计(理想)'!U7</f>
        <v>0</v>
      </c>
      <c r="V7" s="20">
        <f>'伤害统计(理想)'!V7</f>
        <v>2.0895</v>
      </c>
      <c r="W7" s="20">
        <f>'伤害统计(理想)'!W7</f>
        <v>0.2441</v>
      </c>
      <c r="X7" s="20">
        <f>'伤害统计(理想)'!X7</f>
        <v>2.3336</v>
      </c>
      <c r="Y7" s="20">
        <f>'伤害统计(理想)'!Y7</f>
        <v>0.2441</v>
      </c>
      <c r="Z7" s="20">
        <f>'伤害统计(理想)'!Z7</f>
        <v>2.3336</v>
      </c>
      <c r="AA7" s="20">
        <f>'伤害统计(理想)'!AA7</f>
        <v>0.1953</v>
      </c>
      <c r="AB7" s="20">
        <f>'伤害统计(理想)'!AB7</f>
        <v>2.5289</v>
      </c>
      <c r="AC7" s="20">
        <f t="shared" si="0"/>
        <v>73788</v>
      </c>
      <c r="AD7" s="20">
        <f t="shared" si="1"/>
        <v>101400</v>
      </c>
      <c r="AE7" s="20">
        <f t="shared" si="2"/>
        <v>109535</v>
      </c>
      <c r="AF7" s="20">
        <f t="shared" si="3"/>
        <v>154180</v>
      </c>
      <c r="AG7" s="20">
        <f t="shared" si="4"/>
        <v>236627</v>
      </c>
      <c r="AH7" s="20">
        <f>INT(AE7*(T7+U7+0.4441+按提示输入属性!D64*0.1953))</f>
        <v>298910</v>
      </c>
      <c r="AI7" s="20">
        <f t="shared" si="5"/>
        <v>87594</v>
      </c>
      <c r="AJ7" s="20">
        <f t="shared" si="6"/>
        <v>204409</v>
      </c>
      <c r="AK7" s="20">
        <f t="shared" si="7"/>
        <v>94622</v>
      </c>
      <c r="AL7" s="20">
        <f t="shared" si="8"/>
        <v>220809</v>
      </c>
      <c r="AM7" s="20">
        <f t="shared" si="9"/>
        <v>256430</v>
      </c>
      <c r="AN7" s="20">
        <f t="shared" si="10"/>
        <v>277003</v>
      </c>
    </row>
    <row r="8" s="20" customFormat="1" spans="1:40">
      <c r="A8" s="20" t="str">
        <f>'伤害统计(理想)'!A8</f>
        <v>颠越苍穹击</v>
      </c>
      <c r="B8" s="20">
        <f>'伤害统计(理想)'!B8</f>
        <v>1090</v>
      </c>
      <c r="C8" s="20">
        <f>'伤害统计(理想)'!C8</f>
        <v>34400</v>
      </c>
      <c r="D8" s="20">
        <f>'伤害统计(理想)'!D8</f>
        <v>45792</v>
      </c>
      <c r="E8" s="20">
        <f>'伤害统计(理想)'!E8</f>
        <v>0.7239</v>
      </c>
      <c r="F8" s="20">
        <f>'伤害统计(理想)'!F8</f>
        <v>1</v>
      </c>
      <c r="G8" s="20">
        <f>'伤害统计(理想)'!G8</f>
        <v>0</v>
      </c>
      <c r="H8" s="20">
        <f>'伤害统计(理想)'!H8</f>
        <v>0</v>
      </c>
      <c r="I8" s="20">
        <f>'伤害统计(理想)'!I8</f>
        <v>0.05</v>
      </c>
      <c r="J8" s="20">
        <f>'伤害统计(理想)'!J8</f>
        <v>0.472</v>
      </c>
      <c r="K8" s="20">
        <f>'伤害统计(理想)'!K8</f>
        <v>0.1181</v>
      </c>
      <c r="L8" s="20">
        <f>'伤害统计(理想)'!L8</f>
        <v>0.177214436704937</v>
      </c>
      <c r="M8" s="8">
        <f>M2</f>
        <v>0.349753</v>
      </c>
      <c r="N8" s="20">
        <f>'伤害统计(理想)'!N8</f>
        <v>0.2</v>
      </c>
      <c r="O8" s="20">
        <f>'伤害统计(理想)'!O8</f>
        <v>0.4994</v>
      </c>
      <c r="P8" s="20">
        <f>'伤害统计(理想)'!P8</f>
        <v>0</v>
      </c>
      <c r="Q8" s="20">
        <f>'伤害统计(理想)'!Q8</f>
        <v>0.4994</v>
      </c>
      <c r="R8" s="20">
        <f>'伤害统计(理想)'!R8</f>
        <v>0.2441</v>
      </c>
      <c r="S8" s="20">
        <f>'伤害统计(理想)'!S8</f>
        <v>0.7435</v>
      </c>
      <c r="T8" s="20">
        <f>'伤害统计(理想)'!T8</f>
        <v>2.0895</v>
      </c>
      <c r="U8" s="20">
        <f>'伤害统计(理想)'!U8</f>
        <v>0</v>
      </c>
      <c r="V8" s="20">
        <f>'伤害统计(理想)'!V8</f>
        <v>2.0895</v>
      </c>
      <c r="W8" s="20">
        <f>'伤害统计(理想)'!W8</f>
        <v>0.2441</v>
      </c>
      <c r="X8" s="20">
        <f>'伤害统计(理想)'!X8</f>
        <v>2.3336</v>
      </c>
      <c r="Y8" s="20">
        <f>'伤害统计(理想)'!Y8</f>
        <v>0.2441</v>
      </c>
      <c r="Z8" s="20">
        <f>'伤害统计(理想)'!Z8</f>
        <v>2.3336</v>
      </c>
      <c r="AA8" s="20">
        <f>'伤害统计(理想)'!AA8</f>
        <v>0.1953</v>
      </c>
      <c r="AB8" s="20">
        <f>'伤害统计(理想)'!AB8</f>
        <v>2.5289</v>
      </c>
      <c r="AC8" s="20">
        <f t="shared" si="0"/>
        <v>47015</v>
      </c>
      <c r="AD8" s="20">
        <f t="shared" si="1"/>
        <v>64113</v>
      </c>
      <c r="AE8" s="20">
        <f t="shared" si="2"/>
        <v>69257</v>
      </c>
      <c r="AF8" s="20">
        <f t="shared" si="3"/>
        <v>98237</v>
      </c>
      <c r="AG8" s="20">
        <f t="shared" si="4"/>
        <v>149614</v>
      </c>
      <c r="AH8" s="20">
        <f t="shared" ref="AH8:AH14" si="11">INT(AE8*(T8+U8+0.4441))</f>
        <v>175469</v>
      </c>
      <c r="AI8" s="20">
        <f t="shared" si="5"/>
        <v>55564</v>
      </c>
      <c r="AJ8" s="20">
        <f t="shared" si="6"/>
        <v>129664</v>
      </c>
      <c r="AK8" s="20">
        <f t="shared" si="7"/>
        <v>60022</v>
      </c>
      <c r="AL8" s="20">
        <f t="shared" si="8"/>
        <v>140067</v>
      </c>
      <c r="AM8" s="20">
        <f t="shared" si="9"/>
        <v>162135</v>
      </c>
      <c r="AN8" s="20">
        <f t="shared" si="10"/>
        <v>175144</v>
      </c>
    </row>
    <row r="9" s="20" customFormat="1" spans="1:40">
      <c r="A9" s="20" t="str">
        <f>'伤害统计(理想)'!A9</f>
        <v>五方行尽</v>
      </c>
      <c r="B9" s="20">
        <f>'伤害统计(理想)'!B9</f>
        <v>51</v>
      </c>
      <c r="C9" s="20">
        <f>'伤害统计(理想)'!C9</f>
        <v>34400</v>
      </c>
      <c r="D9" s="20">
        <f>'伤害统计(理想)'!D9</f>
        <v>45792</v>
      </c>
      <c r="E9" s="20">
        <f>'伤害统计(理想)'!E9</f>
        <v>0.5453</v>
      </c>
      <c r="F9" s="20">
        <f>'伤害统计(理想)'!F9</f>
        <v>1</v>
      </c>
      <c r="G9" s="20">
        <f>'伤害统计(理想)'!G9</f>
        <v>0</v>
      </c>
      <c r="H9" s="20">
        <f>'伤害统计(理想)'!H9</f>
        <v>0</v>
      </c>
      <c r="I9" s="20">
        <f>'伤害统计(理想)'!I9</f>
        <v>0.05</v>
      </c>
      <c r="J9" s="20">
        <f>'伤害统计(理想)'!J9</f>
        <v>0.472</v>
      </c>
      <c r="K9" s="20">
        <f>'伤害统计(理想)'!K9</f>
        <v>0.1181</v>
      </c>
      <c r="L9" s="20">
        <f>'伤害统计(理想)'!L9</f>
        <v>0.177214436704937</v>
      </c>
      <c r="M9" s="8">
        <f>M2</f>
        <v>0.349753</v>
      </c>
      <c r="N9" s="20">
        <f>'伤害统计(理想)'!N9</f>
        <v>0.2</v>
      </c>
      <c r="O9" s="20">
        <f>'伤害统计(理想)'!O9</f>
        <v>0.4994</v>
      </c>
      <c r="P9" s="20">
        <f>'伤害统计(理想)'!P9</f>
        <v>0</v>
      </c>
      <c r="Q9" s="20">
        <f>'伤害统计(理想)'!Q9</f>
        <v>0.4994</v>
      </c>
      <c r="R9" s="20">
        <f>'伤害统计(理想)'!R9</f>
        <v>0.2441</v>
      </c>
      <c r="S9" s="20">
        <f>'伤害统计(理想)'!S9</f>
        <v>0.7435</v>
      </c>
      <c r="T9" s="20">
        <f>'伤害统计(理想)'!T9</f>
        <v>2.0895</v>
      </c>
      <c r="U9" s="20">
        <f>'伤害统计(理想)'!U9</f>
        <v>0</v>
      </c>
      <c r="V9" s="20">
        <f>'伤害统计(理想)'!V9</f>
        <v>2.0895</v>
      </c>
      <c r="W9" s="20">
        <f>'伤害统计(理想)'!W9</f>
        <v>0.2441</v>
      </c>
      <c r="X9" s="20">
        <f>'伤害统计(理想)'!X9</f>
        <v>2.3336</v>
      </c>
      <c r="Y9" s="20">
        <f>'伤害统计(理想)'!Y9</f>
        <v>0.2441</v>
      </c>
      <c r="Z9" s="20">
        <f>'伤害统计(理想)'!Z9</f>
        <v>2.3336</v>
      </c>
      <c r="AA9" s="20">
        <f>'伤害统计(理想)'!AA9</f>
        <v>0.1953</v>
      </c>
      <c r="AB9" s="20">
        <f>'伤害统计(理想)'!AB9</f>
        <v>2.5289</v>
      </c>
      <c r="AC9" s="20">
        <f t="shared" si="0"/>
        <v>34358</v>
      </c>
      <c r="AD9" s="20">
        <f t="shared" si="1"/>
        <v>47238</v>
      </c>
      <c r="AE9" s="20">
        <f t="shared" si="2"/>
        <v>51028</v>
      </c>
      <c r="AF9" s="20">
        <f t="shared" si="3"/>
        <v>71791</v>
      </c>
      <c r="AG9" s="20">
        <f t="shared" si="4"/>
        <v>110234</v>
      </c>
      <c r="AH9" s="20">
        <f t="shared" si="11"/>
        <v>129284</v>
      </c>
      <c r="AI9" s="20">
        <f t="shared" si="5"/>
        <v>40798</v>
      </c>
      <c r="AJ9" s="20">
        <f t="shared" si="6"/>
        <v>95206</v>
      </c>
      <c r="AK9" s="20">
        <f t="shared" si="7"/>
        <v>44071</v>
      </c>
      <c r="AL9" s="20">
        <f t="shared" si="8"/>
        <v>102844</v>
      </c>
      <c r="AM9" s="20">
        <f t="shared" si="9"/>
        <v>119460</v>
      </c>
      <c r="AN9" s="20">
        <f t="shared" si="10"/>
        <v>129044</v>
      </c>
    </row>
    <row r="10" spans="1:40">
      <c r="A10" s="20" t="str">
        <f>'伤害统计(理想)'!A10</f>
        <v>四象轮回</v>
      </c>
      <c r="B10" s="20">
        <f>'伤害统计(理想)'!B10</f>
        <v>1000</v>
      </c>
      <c r="C10" s="20">
        <f>'伤害统计(理想)'!C10</f>
        <v>34400</v>
      </c>
      <c r="D10" s="20">
        <f>'伤害统计(理想)'!D10</f>
        <v>45792</v>
      </c>
      <c r="E10" s="20">
        <f>'伤害统计(理想)'!E10</f>
        <v>2.29640625</v>
      </c>
      <c r="F10" s="20">
        <f>'伤害统计(理想)'!F10</f>
        <v>1</v>
      </c>
      <c r="G10" s="20">
        <f>'伤害统计(理想)'!G10</f>
        <v>0</v>
      </c>
      <c r="H10" s="20">
        <f>'伤害统计(理想)'!H10</f>
        <v>0.2</v>
      </c>
      <c r="I10" s="20">
        <f>'伤害统计(理想)'!I10</f>
        <v>0.05</v>
      </c>
      <c r="J10" s="20">
        <f>'伤害统计(理想)'!J10</f>
        <v>0.472</v>
      </c>
      <c r="K10" s="20">
        <f>'伤害统计(理想)'!K10</f>
        <v>0.1181</v>
      </c>
      <c r="L10" s="20">
        <f>'伤害统计(理想)'!L10</f>
        <v>0.177214436704937</v>
      </c>
      <c r="M10" s="8">
        <f>M2</f>
        <v>0.349753</v>
      </c>
      <c r="N10" s="20">
        <f>'伤害统计(理想)'!N10</f>
        <v>0.2</v>
      </c>
      <c r="O10" s="20">
        <f>'伤害统计(理想)'!O10</f>
        <v>0.4994</v>
      </c>
      <c r="P10" s="20">
        <f>'伤害统计(理想)'!P10</f>
        <v>0.17</v>
      </c>
      <c r="Q10" s="20">
        <f>'伤害统计(理想)'!Q10</f>
        <v>0.6694</v>
      </c>
      <c r="R10" s="20">
        <f>'伤害统计(理想)'!R10</f>
        <v>0.2441</v>
      </c>
      <c r="S10" s="20">
        <f>'伤害统计(理想)'!S10</f>
        <v>0.9135</v>
      </c>
      <c r="T10" s="20">
        <f>'伤害统计(理想)'!T10</f>
        <v>2.0895</v>
      </c>
      <c r="U10" s="20">
        <f>'伤害统计(理想)'!U10</f>
        <v>0.1</v>
      </c>
      <c r="V10" s="20">
        <f>'伤害统计(理想)'!V10</f>
        <v>2.1895</v>
      </c>
      <c r="W10" s="20">
        <f>'伤害统计(理想)'!W10</f>
        <v>0.2441</v>
      </c>
      <c r="X10" s="20">
        <f>'伤害统计(理想)'!X10</f>
        <v>2.4336</v>
      </c>
      <c r="Y10" s="20">
        <f>'伤害统计(理想)'!Y10</f>
        <v>0.2441</v>
      </c>
      <c r="Z10" s="20">
        <f>'伤害统计(理想)'!Z10</f>
        <v>2.4336</v>
      </c>
      <c r="AA10" s="20">
        <f>'伤害统计(理想)'!AA10</f>
        <v>0.1953</v>
      </c>
      <c r="AB10" s="20">
        <f>'伤害统计(理想)'!AB10</f>
        <v>2.6289</v>
      </c>
      <c r="AC10" s="20">
        <f t="shared" si="0"/>
        <v>174927</v>
      </c>
      <c r="AD10" s="20">
        <f t="shared" si="1"/>
        <v>240013</v>
      </c>
      <c r="AE10" s="20">
        <f t="shared" si="2"/>
        <v>259269</v>
      </c>
      <c r="AF10" s="20">
        <f t="shared" si="3"/>
        <v>383002</v>
      </c>
      <c r="AG10" s="20">
        <f t="shared" si="4"/>
        <v>584095</v>
      </c>
      <c r="AH10" s="20">
        <f t="shared" si="11"/>
        <v>682810</v>
      </c>
      <c r="AI10" s="20">
        <f t="shared" si="5"/>
        <v>207470</v>
      </c>
      <c r="AJ10" s="20">
        <f t="shared" si="6"/>
        <v>504898</v>
      </c>
      <c r="AK10" s="20">
        <f t="shared" si="7"/>
        <v>224115</v>
      </c>
      <c r="AL10" s="20">
        <f t="shared" si="8"/>
        <v>545406</v>
      </c>
      <c r="AM10" s="20">
        <f t="shared" si="9"/>
        <v>630970</v>
      </c>
      <c r="AN10" s="20">
        <f t="shared" si="10"/>
        <v>681592</v>
      </c>
    </row>
    <row r="11" spans="1:40">
      <c r="A11" s="20" t="str">
        <f>'伤害统计(理想)'!A11</f>
        <v>两仪化形</v>
      </c>
      <c r="B11" s="20">
        <f>'伤害统计(理想)'!B11</f>
        <v>2739</v>
      </c>
      <c r="C11" s="20">
        <f>'伤害统计(理想)'!C11</f>
        <v>34400</v>
      </c>
      <c r="D11" s="20">
        <f>'伤害统计(理想)'!D11</f>
        <v>45792</v>
      </c>
      <c r="E11" s="20">
        <f>'伤害统计(理想)'!E11</f>
        <v>2.000625</v>
      </c>
      <c r="F11" s="20">
        <f>'伤害统计(理想)'!F11</f>
        <v>1</v>
      </c>
      <c r="G11" s="20">
        <f>'伤害统计(理想)'!G11</f>
        <v>0.09</v>
      </c>
      <c r="H11" s="20">
        <f>'伤害统计(理想)'!H11</f>
        <v>0.2</v>
      </c>
      <c r="I11" s="20">
        <f>'伤害统计(理想)'!I11</f>
        <v>0.05</v>
      </c>
      <c r="J11" s="20">
        <f>'伤害统计(理想)'!J11</f>
        <v>0.472</v>
      </c>
      <c r="K11" s="20">
        <f>'伤害统计(理想)'!K11</f>
        <v>0.1181</v>
      </c>
      <c r="L11" s="20">
        <f>'伤害统计(理想)'!L11</f>
        <v>0.177214436704937</v>
      </c>
      <c r="M11" s="8">
        <f>M2</f>
        <v>0.349753</v>
      </c>
      <c r="N11" s="20">
        <f>'伤害统计(理想)'!N11</f>
        <v>0.2</v>
      </c>
      <c r="O11" s="20">
        <f>'伤害统计(理想)'!O11</f>
        <v>0.4994</v>
      </c>
      <c r="P11" s="20">
        <f>'伤害统计(理想)'!P11</f>
        <v>0.04</v>
      </c>
      <c r="Q11" s="20">
        <f>'伤害统计(理想)'!Q11</f>
        <v>0.5394</v>
      </c>
      <c r="R11" s="20">
        <f>'伤害统计(理想)'!R11</f>
        <v>0.2441</v>
      </c>
      <c r="S11" s="20">
        <f>'伤害统计(理想)'!S11</f>
        <v>0.7835</v>
      </c>
      <c r="T11" s="20">
        <f>'伤害统计(理想)'!T11</f>
        <v>2.0895</v>
      </c>
      <c r="U11" s="20">
        <f>'伤害统计(理想)'!U11</f>
        <v>0</v>
      </c>
      <c r="V11" s="20">
        <f>'伤害统计(理想)'!V11</f>
        <v>2.0895</v>
      </c>
      <c r="W11" s="20">
        <f>'伤害统计(理想)'!W11</f>
        <v>0.2441</v>
      </c>
      <c r="X11" s="20">
        <f>'伤害统计(理想)'!X11</f>
        <v>2.3336</v>
      </c>
      <c r="Y11" s="20">
        <f>'伤害统计(理想)'!Y11</f>
        <v>0.2441</v>
      </c>
      <c r="Z11" s="20">
        <f>'伤害统计(理想)'!Z11</f>
        <v>2.3336</v>
      </c>
      <c r="AA11" s="20">
        <f>'伤害统计(理想)'!AA11</f>
        <v>0.1953</v>
      </c>
      <c r="AB11" s="20">
        <f>'伤害统计(理想)'!AB11</f>
        <v>2.5289</v>
      </c>
      <c r="AC11" s="20">
        <f t="shared" si="0"/>
        <v>167133</v>
      </c>
      <c r="AD11" s="20">
        <f t="shared" si="1"/>
        <v>228090</v>
      </c>
      <c r="AE11" s="20">
        <f t="shared" si="2"/>
        <v>246390</v>
      </c>
      <c r="AF11" s="20">
        <f t="shared" si="3"/>
        <v>349224</v>
      </c>
      <c r="AG11" s="20">
        <f t="shared" si="4"/>
        <v>532270</v>
      </c>
      <c r="AH11" s="20">
        <f t="shared" si="11"/>
        <v>624253</v>
      </c>
      <c r="AI11" s="20">
        <f t="shared" si="5"/>
        <v>197612</v>
      </c>
      <c r="AJ11" s="20">
        <f t="shared" si="6"/>
        <v>461147</v>
      </c>
      <c r="AK11" s="20">
        <f t="shared" si="7"/>
        <v>213467</v>
      </c>
      <c r="AL11" s="20">
        <f t="shared" si="8"/>
        <v>498146</v>
      </c>
      <c r="AM11" s="20">
        <f t="shared" si="9"/>
        <v>576816</v>
      </c>
      <c r="AN11" s="20">
        <f t="shared" si="10"/>
        <v>623095</v>
      </c>
    </row>
    <row r="12" spans="1:40">
      <c r="A12" s="20" t="str">
        <f>'伤害统计(理想)'!A12</f>
        <v>两仪化形(4</v>
      </c>
      <c r="B12" s="20">
        <f>'伤害统计(理想)'!B12</f>
        <v>2466</v>
      </c>
      <c r="C12" s="20">
        <f>'伤害统计(理想)'!C12</f>
        <v>34400</v>
      </c>
      <c r="D12" s="20">
        <f>'伤害统计(理想)'!D12</f>
        <v>45792</v>
      </c>
      <c r="E12" s="20">
        <f>'伤害统计(理想)'!E12</f>
        <v>1.654186908</v>
      </c>
      <c r="F12" s="20">
        <f>'伤害统计(理想)'!F12</f>
        <v>1</v>
      </c>
      <c r="G12" s="20">
        <f>'伤害统计(理想)'!G12</f>
        <v>0.09</v>
      </c>
      <c r="H12" s="20">
        <f>'伤害统计(理想)'!H12</f>
        <v>0.2</v>
      </c>
      <c r="I12" s="20">
        <f>'伤害统计(理想)'!I12</f>
        <v>0.05</v>
      </c>
      <c r="J12" s="20">
        <f>'伤害统计(理想)'!J12</f>
        <v>0.472</v>
      </c>
      <c r="K12" s="20">
        <f>'伤害统计(理想)'!K12</f>
        <v>0.1181</v>
      </c>
      <c r="L12" s="20">
        <f>'伤害统计(理想)'!L12</f>
        <v>0.177214436704937</v>
      </c>
      <c r="M12" s="8">
        <f>M2</f>
        <v>0.349753</v>
      </c>
      <c r="N12" s="20">
        <f>'伤害统计(理想)'!N12</f>
        <v>0.2</v>
      </c>
      <c r="O12" s="20">
        <f>'伤害统计(理想)'!O12</f>
        <v>0.4994</v>
      </c>
      <c r="P12" s="20">
        <f>'伤害统计(理想)'!P12</f>
        <v>0.04</v>
      </c>
      <c r="Q12" s="20">
        <f>'伤害统计(理想)'!Q12</f>
        <v>0.5394</v>
      </c>
      <c r="R12" s="20">
        <f>'伤害统计(理想)'!R12</f>
        <v>0.2441</v>
      </c>
      <c r="S12" s="20">
        <f>'伤害统计(理想)'!S12</f>
        <v>0.7835</v>
      </c>
      <c r="T12" s="20">
        <f>'伤害统计(理想)'!T12</f>
        <v>2.0895</v>
      </c>
      <c r="U12" s="20">
        <f>'伤害统计(理想)'!U12</f>
        <v>0</v>
      </c>
      <c r="V12" s="20">
        <f>'伤害统计(理想)'!V12</f>
        <v>2.0895</v>
      </c>
      <c r="W12" s="20">
        <f>'伤害统计(理想)'!W12</f>
        <v>0.2441</v>
      </c>
      <c r="X12" s="20">
        <f>'伤害统计(理想)'!X12</f>
        <v>2.3336</v>
      </c>
      <c r="Y12" s="20">
        <f>'伤害统计(理想)'!Y12</f>
        <v>0.2441</v>
      </c>
      <c r="Z12" s="20">
        <f>'伤害统计(理想)'!Z12</f>
        <v>2.3336</v>
      </c>
      <c r="AA12" s="20">
        <f>'伤害统计(理想)'!AA12</f>
        <v>0.1953</v>
      </c>
      <c r="AB12" s="20">
        <f>'伤害统计(理想)'!AB12</f>
        <v>2.5289</v>
      </c>
      <c r="AC12" s="20">
        <f t="shared" si="0"/>
        <v>138548</v>
      </c>
      <c r="AD12" s="20">
        <f t="shared" si="1"/>
        <v>188949</v>
      </c>
      <c r="AE12" s="20">
        <f t="shared" si="2"/>
        <v>204109</v>
      </c>
      <c r="AF12" s="20">
        <f t="shared" si="3"/>
        <v>289496</v>
      </c>
      <c r="AG12" s="20">
        <f t="shared" si="4"/>
        <v>440931</v>
      </c>
      <c r="AH12" s="20">
        <f t="shared" si="11"/>
        <v>517130</v>
      </c>
      <c r="AI12" s="20">
        <f t="shared" si="5"/>
        <v>163749</v>
      </c>
      <c r="AJ12" s="20">
        <f t="shared" si="6"/>
        <v>382124</v>
      </c>
      <c r="AK12" s="20">
        <f t="shared" si="7"/>
        <v>176887</v>
      </c>
      <c r="AL12" s="20">
        <f t="shared" si="8"/>
        <v>412783</v>
      </c>
      <c r="AM12" s="20">
        <f t="shared" si="9"/>
        <v>477833</v>
      </c>
      <c r="AN12" s="20">
        <f t="shared" si="10"/>
        <v>516171</v>
      </c>
    </row>
    <row r="13" spans="1:40">
      <c r="A13" s="20" t="str">
        <f>'伤害统计(理想)'!A13</f>
        <v>两仪化形(3.5</v>
      </c>
      <c r="B13" s="20">
        <f>'伤害统计(理想)'!B13</f>
        <v>2191</v>
      </c>
      <c r="C13" s="20">
        <f>'伤害统计(理想)'!C13</f>
        <v>34400</v>
      </c>
      <c r="D13" s="20">
        <f>'伤害统计(理想)'!D13</f>
        <v>45792</v>
      </c>
      <c r="E13" s="20">
        <f>'伤害统计(理想)'!E13</f>
        <v>1.4586550308</v>
      </c>
      <c r="F13" s="20">
        <f>'伤害统计(理想)'!F13</f>
        <v>1</v>
      </c>
      <c r="G13" s="20">
        <f>'伤害统计(理想)'!G13</f>
        <v>0.09</v>
      </c>
      <c r="H13" s="20">
        <f>'伤害统计(理想)'!H13</f>
        <v>0.2</v>
      </c>
      <c r="I13" s="20">
        <f>'伤害统计(理想)'!I13</f>
        <v>0.05</v>
      </c>
      <c r="J13" s="20">
        <f>'伤害统计(理想)'!J13</f>
        <v>0.472</v>
      </c>
      <c r="K13" s="20">
        <f>'伤害统计(理想)'!K13</f>
        <v>0.1181</v>
      </c>
      <c r="L13" s="20">
        <f>'伤害统计(理想)'!L13</f>
        <v>0.177214436704937</v>
      </c>
      <c r="M13" s="8">
        <f>M2</f>
        <v>0.349753</v>
      </c>
      <c r="N13" s="20">
        <f>'伤害统计(理想)'!N13</f>
        <v>0.2</v>
      </c>
      <c r="O13" s="20">
        <f>'伤害统计(理想)'!O13</f>
        <v>0.4994</v>
      </c>
      <c r="P13" s="20">
        <f>'伤害统计(理想)'!P13</f>
        <v>0.04</v>
      </c>
      <c r="Q13" s="20">
        <f>'伤害统计(理想)'!Q13</f>
        <v>0.5394</v>
      </c>
      <c r="R13" s="20">
        <f>'伤害统计(理想)'!R13</f>
        <v>0.2441</v>
      </c>
      <c r="S13" s="20">
        <f>'伤害统计(理想)'!S13</f>
        <v>0.7835</v>
      </c>
      <c r="T13" s="20">
        <f>'伤害统计(理想)'!T13</f>
        <v>2.0895</v>
      </c>
      <c r="U13" s="20">
        <f>'伤害统计(理想)'!U13</f>
        <v>0</v>
      </c>
      <c r="V13" s="20">
        <f>'伤害统计(理想)'!V13</f>
        <v>2.0895</v>
      </c>
      <c r="W13" s="20">
        <f>'伤害统计(理想)'!W13</f>
        <v>0.2441</v>
      </c>
      <c r="X13" s="20">
        <f>'伤害统计(理想)'!X13</f>
        <v>2.3336</v>
      </c>
      <c r="Y13" s="20">
        <f>'伤害统计(理想)'!Y13</f>
        <v>0.2441</v>
      </c>
      <c r="Z13" s="20">
        <f>'伤害统计(理想)'!Z13</f>
        <v>2.3336</v>
      </c>
      <c r="AA13" s="20">
        <f>'伤害统计(理想)'!AA13</f>
        <v>0.1953</v>
      </c>
      <c r="AB13" s="20">
        <f>'伤害统计(理想)'!AB13</f>
        <v>2.5289</v>
      </c>
      <c r="AC13" s="20">
        <f t="shared" si="0"/>
        <v>122200</v>
      </c>
      <c r="AD13" s="20">
        <f t="shared" si="1"/>
        <v>166644</v>
      </c>
      <c r="AE13" s="20">
        <f t="shared" si="2"/>
        <v>180014</v>
      </c>
      <c r="AF13" s="20">
        <f t="shared" si="3"/>
        <v>255336</v>
      </c>
      <c r="AG13" s="20">
        <f t="shared" si="4"/>
        <v>388880</v>
      </c>
      <c r="AH13" s="20">
        <f t="shared" si="11"/>
        <v>456083</v>
      </c>
      <c r="AI13" s="20">
        <f t="shared" si="5"/>
        <v>144422</v>
      </c>
      <c r="AJ13" s="20">
        <f t="shared" si="6"/>
        <v>337023</v>
      </c>
      <c r="AK13" s="20">
        <f t="shared" si="7"/>
        <v>156010</v>
      </c>
      <c r="AL13" s="20">
        <f t="shared" si="8"/>
        <v>364064</v>
      </c>
      <c r="AM13" s="20">
        <f t="shared" si="9"/>
        <v>421426</v>
      </c>
      <c r="AN13" s="20">
        <f t="shared" si="10"/>
        <v>455237</v>
      </c>
    </row>
    <row r="14" spans="1:40">
      <c r="A14" s="20" t="str">
        <f>'伤害统计(理想)'!A14</f>
        <v>六合1</v>
      </c>
      <c r="B14" s="20">
        <f>'伤害统计(理想)'!B14</f>
        <v>90</v>
      </c>
      <c r="C14" s="20">
        <f>'伤害统计(理想)'!C14</f>
        <v>34400</v>
      </c>
      <c r="D14" s="20">
        <f>'伤害统计(理想)'!D14</f>
        <v>45792</v>
      </c>
      <c r="E14" s="20">
        <f>'伤害统计(理想)'!E14</f>
        <v>0.854167</v>
      </c>
      <c r="F14" s="20">
        <f>'伤害统计(理想)'!F14</f>
        <v>1</v>
      </c>
      <c r="G14" s="20">
        <f>'伤害统计(理想)'!G14</f>
        <v>0</v>
      </c>
      <c r="H14" s="20">
        <f>'伤害统计(理想)'!H14</f>
        <v>0</v>
      </c>
      <c r="I14" s="20">
        <f>'伤害统计(理想)'!I14</f>
        <v>0.05</v>
      </c>
      <c r="J14" s="20">
        <f>'伤害统计(理想)'!J14</f>
        <v>0.472</v>
      </c>
      <c r="K14" s="20">
        <f>'伤害统计(理想)'!K14</f>
        <v>0.1181</v>
      </c>
      <c r="L14" s="20">
        <f>'伤害统计(理想)'!L14</f>
        <v>0.177214436704937</v>
      </c>
      <c r="M14" s="8">
        <f>M2</f>
        <v>0.349753</v>
      </c>
      <c r="N14" s="20">
        <f>'伤害统计(理想)'!N14</f>
        <v>0.2</v>
      </c>
      <c r="O14" s="20">
        <f>'伤害统计(理想)'!O14</f>
        <v>0.4994</v>
      </c>
      <c r="P14" s="20">
        <f>'伤害统计(理想)'!P14</f>
        <v>0</v>
      </c>
      <c r="Q14" s="20">
        <f>'伤害统计(理想)'!Q14</f>
        <v>0.4994</v>
      </c>
      <c r="R14" s="20">
        <f>'伤害统计(理想)'!R14</f>
        <v>0.2441</v>
      </c>
      <c r="S14" s="20">
        <f>'伤害统计(理想)'!S14</f>
        <v>0.7435</v>
      </c>
      <c r="T14" s="20">
        <f>'伤害统计(理想)'!T14</f>
        <v>2.0895</v>
      </c>
      <c r="U14" s="20">
        <f>'伤害统计(理想)'!U14</f>
        <v>0</v>
      </c>
      <c r="V14" s="20">
        <f>'伤害统计(理想)'!V14</f>
        <v>2.0895</v>
      </c>
      <c r="W14" s="20">
        <f>'伤害统计(理想)'!W14</f>
        <v>0.2441</v>
      </c>
      <c r="X14" s="20">
        <f>'伤害统计(理想)'!X14</f>
        <v>2.3336</v>
      </c>
      <c r="Y14" s="20">
        <f>'伤害统计(理想)'!Y14</f>
        <v>0.2441</v>
      </c>
      <c r="Z14" s="20">
        <f>'伤害统计(理想)'!Z14</f>
        <v>2.3336</v>
      </c>
      <c r="AA14" s="20">
        <f>'伤害统计(理想)'!AA14</f>
        <v>0.1953</v>
      </c>
      <c r="AB14" s="20">
        <f>'伤害统计(理想)'!AB14</f>
        <v>2.5289</v>
      </c>
      <c r="AC14" s="20">
        <f t="shared" si="0"/>
        <v>53834</v>
      </c>
      <c r="AD14" s="20">
        <f t="shared" si="1"/>
        <v>74008</v>
      </c>
      <c r="AE14" s="20">
        <f t="shared" si="2"/>
        <v>79946</v>
      </c>
      <c r="AF14" s="20">
        <f t="shared" si="3"/>
        <v>112486</v>
      </c>
      <c r="AG14" s="20">
        <f t="shared" si="4"/>
        <v>172705</v>
      </c>
      <c r="AH14" s="20">
        <f t="shared" si="11"/>
        <v>202551</v>
      </c>
      <c r="AI14" s="20">
        <f t="shared" si="5"/>
        <v>63921</v>
      </c>
      <c r="AJ14" s="20">
        <f t="shared" si="6"/>
        <v>149166</v>
      </c>
      <c r="AK14" s="20">
        <f t="shared" si="7"/>
        <v>69049</v>
      </c>
      <c r="AL14" s="20">
        <f t="shared" si="8"/>
        <v>161132</v>
      </c>
      <c r="AM14" s="20">
        <f t="shared" si="9"/>
        <v>187158</v>
      </c>
      <c r="AN14" s="20">
        <f t="shared" si="10"/>
        <v>202175</v>
      </c>
    </row>
    <row r="15" spans="1:40">
      <c r="A15" s="20" t="str">
        <f>'伤害统计(理想)'!A15</f>
        <v>六合2</v>
      </c>
      <c r="B15" s="20">
        <f>'伤害统计(理想)'!B15</f>
        <v>90</v>
      </c>
      <c r="C15" s="20">
        <f>'伤害统计(理想)'!C15</f>
        <v>34400</v>
      </c>
      <c r="D15" s="20">
        <f>'伤害统计(理想)'!D15</f>
        <v>45792</v>
      </c>
      <c r="E15" s="20">
        <f>'伤害统计(理想)'!E15</f>
        <v>0.854167</v>
      </c>
      <c r="F15" s="20">
        <f>'伤害统计(理想)'!F15</f>
        <v>1</v>
      </c>
      <c r="G15" s="20">
        <f>'伤害统计(理想)'!G15</f>
        <v>0</v>
      </c>
      <c r="H15" s="20">
        <f>'伤害统计(理想)'!H15</f>
        <v>0.35</v>
      </c>
      <c r="I15" s="20">
        <f>'伤害统计(理想)'!I15</f>
        <v>0.05</v>
      </c>
      <c r="J15" s="20">
        <f>'伤害统计(理想)'!J15</f>
        <v>0.472</v>
      </c>
      <c r="K15" s="20">
        <f>'伤害统计(理想)'!K15</f>
        <v>0.1181</v>
      </c>
      <c r="L15" s="20">
        <f>'伤害统计(理想)'!L15</f>
        <v>0.177214436704937</v>
      </c>
      <c r="M15" s="8">
        <f>M2</f>
        <v>0.349753</v>
      </c>
      <c r="N15" s="20">
        <f>'伤害统计(理想)'!N15</f>
        <v>0.2</v>
      </c>
      <c r="O15" s="20">
        <f>'伤害统计(理想)'!O15</f>
        <v>0.4994</v>
      </c>
      <c r="P15" s="20">
        <f>'伤害统计(理想)'!P15</f>
        <v>0</v>
      </c>
      <c r="Q15" s="20">
        <f>'伤害统计(理想)'!Q15</f>
        <v>0.4994</v>
      </c>
      <c r="R15" s="20">
        <f>'伤害统计(理想)'!R15</f>
        <v>0.2441</v>
      </c>
      <c r="S15" s="20">
        <f>'伤害统计(理想)'!S15</f>
        <v>0.7435</v>
      </c>
      <c r="T15" s="20">
        <f>'伤害统计(理想)'!T15</f>
        <v>2.0895</v>
      </c>
      <c r="U15" s="20">
        <f>'伤害统计(理想)'!U15</f>
        <v>0</v>
      </c>
      <c r="V15" s="20">
        <f>'伤害统计(理想)'!V15</f>
        <v>2.0895</v>
      </c>
      <c r="W15" s="20">
        <f>'伤害统计(理想)'!W15</f>
        <v>0.2441</v>
      </c>
      <c r="X15" s="20">
        <f>'伤害统计(理想)'!X15</f>
        <v>2.3336</v>
      </c>
      <c r="Y15" s="20">
        <f>'伤害统计(理想)'!Y15</f>
        <v>0.2441</v>
      </c>
      <c r="Z15" s="20">
        <f>'伤害统计(理想)'!Z15</f>
        <v>2.3336</v>
      </c>
      <c r="AA15" s="20">
        <f>'伤害统计(理想)'!AA15</f>
        <v>0.1953</v>
      </c>
      <c r="AB15" s="20">
        <f>'伤害统计(理想)'!AB15</f>
        <v>2.5289</v>
      </c>
      <c r="AC15" s="20">
        <f t="shared" si="0"/>
        <v>72676</v>
      </c>
      <c r="AD15" s="20">
        <f t="shared" si="1"/>
        <v>99911</v>
      </c>
      <c r="AE15" s="20">
        <f t="shared" si="2"/>
        <v>107927</v>
      </c>
      <c r="AF15" s="20">
        <f t="shared" si="3"/>
        <v>151856</v>
      </c>
      <c r="AG15" s="20">
        <f t="shared" si="4"/>
        <v>233152</v>
      </c>
      <c r="AH15" s="20">
        <f>INT(AE15*(T15+U15+0.4441+按提示输入属性!D64*0.1953))</f>
        <v>294521</v>
      </c>
      <c r="AI15" s="20">
        <f t="shared" si="5"/>
        <v>86293</v>
      </c>
      <c r="AJ15" s="20">
        <f t="shared" si="6"/>
        <v>201373</v>
      </c>
      <c r="AK15" s="20">
        <f t="shared" si="7"/>
        <v>93217</v>
      </c>
      <c r="AL15" s="20">
        <f t="shared" si="8"/>
        <v>217531</v>
      </c>
      <c r="AM15" s="20">
        <f t="shared" si="9"/>
        <v>252664</v>
      </c>
      <c r="AN15" s="20">
        <f t="shared" si="10"/>
        <v>272936</v>
      </c>
    </row>
    <row r="16" spans="1:40">
      <c r="A16" s="20" t="str">
        <f>'伤害统计(理想)'!A16</f>
        <v>六合3</v>
      </c>
      <c r="B16" s="20">
        <f>'伤害统计(理想)'!B16</f>
        <v>90</v>
      </c>
      <c r="C16" s="20">
        <f>'伤害统计(理想)'!C16</f>
        <v>34400</v>
      </c>
      <c r="D16" s="20">
        <f>'伤害统计(理想)'!D16</f>
        <v>45792</v>
      </c>
      <c r="E16" s="20">
        <f>'伤害统计(理想)'!E16</f>
        <v>0.854167</v>
      </c>
      <c r="F16" s="20">
        <f>'伤害统计(理想)'!F16</f>
        <v>1</v>
      </c>
      <c r="G16" s="20">
        <f>'伤害统计(理想)'!G16</f>
        <v>0</v>
      </c>
      <c r="H16" s="20">
        <f>'伤害统计(理想)'!H16</f>
        <v>0.7</v>
      </c>
      <c r="I16" s="20">
        <f>'伤害统计(理想)'!I16</f>
        <v>0.05</v>
      </c>
      <c r="J16" s="20">
        <f>'伤害统计(理想)'!J16</f>
        <v>0.472</v>
      </c>
      <c r="K16" s="20">
        <f>'伤害统计(理想)'!K16</f>
        <v>0.1181</v>
      </c>
      <c r="L16" s="20">
        <f>'伤害统计(理想)'!L16</f>
        <v>0.177214436704937</v>
      </c>
      <c r="M16" s="8">
        <f>M2</f>
        <v>0.349753</v>
      </c>
      <c r="N16" s="20">
        <f>'伤害统计(理想)'!N16</f>
        <v>0.2</v>
      </c>
      <c r="O16" s="20">
        <f>'伤害统计(理想)'!O16</f>
        <v>0.4994</v>
      </c>
      <c r="P16" s="20">
        <f>'伤害统计(理想)'!P16</f>
        <v>0</v>
      </c>
      <c r="Q16" s="20">
        <f>'伤害统计(理想)'!Q16</f>
        <v>0.4994</v>
      </c>
      <c r="R16" s="20">
        <f>'伤害统计(理想)'!R16</f>
        <v>0.2441</v>
      </c>
      <c r="S16" s="20">
        <f>'伤害统计(理想)'!S16</f>
        <v>0.7435</v>
      </c>
      <c r="T16" s="20">
        <f>'伤害统计(理想)'!T16</f>
        <v>2.0895</v>
      </c>
      <c r="U16" s="20">
        <f>'伤害统计(理想)'!U16</f>
        <v>0</v>
      </c>
      <c r="V16" s="20">
        <f>'伤害统计(理想)'!V16</f>
        <v>2.0895</v>
      </c>
      <c r="W16" s="20">
        <f>'伤害统计(理想)'!W16</f>
        <v>0.2441</v>
      </c>
      <c r="X16" s="20">
        <f>'伤害统计(理想)'!X16</f>
        <v>2.3336</v>
      </c>
      <c r="Y16" s="20">
        <f>'伤害统计(理想)'!Y16</f>
        <v>0.2441</v>
      </c>
      <c r="Z16" s="20">
        <f>'伤害统计(理想)'!Z16</f>
        <v>2.3336</v>
      </c>
      <c r="AA16" s="20">
        <f>'伤害统计(理想)'!AA16</f>
        <v>0.1953</v>
      </c>
      <c r="AB16" s="20">
        <f>'伤害统计(理想)'!AB16</f>
        <v>2.5289</v>
      </c>
      <c r="AC16" s="20">
        <f t="shared" si="0"/>
        <v>91518</v>
      </c>
      <c r="AD16" s="20">
        <f t="shared" si="1"/>
        <v>125814</v>
      </c>
      <c r="AE16" s="20">
        <f t="shared" si="2"/>
        <v>135908</v>
      </c>
      <c r="AF16" s="20">
        <f t="shared" si="3"/>
        <v>191226</v>
      </c>
      <c r="AG16" s="20">
        <f t="shared" si="4"/>
        <v>293599</v>
      </c>
      <c r="AH16" s="20">
        <f>INT(AE16*(T16+U16+0.4441+按提示输入属性!D64*0.1953))</f>
        <v>370879</v>
      </c>
      <c r="AI16" s="20">
        <f t="shared" si="5"/>
        <v>108666</v>
      </c>
      <c r="AJ16" s="20">
        <f t="shared" si="6"/>
        <v>253582</v>
      </c>
      <c r="AK16" s="20">
        <f t="shared" si="7"/>
        <v>117384</v>
      </c>
      <c r="AL16" s="20">
        <f t="shared" si="8"/>
        <v>273927</v>
      </c>
      <c r="AM16" s="20">
        <f t="shared" si="9"/>
        <v>318171</v>
      </c>
      <c r="AN16" s="20">
        <f t="shared" si="10"/>
        <v>343697</v>
      </c>
    </row>
    <row r="17" spans="1:40">
      <c r="A17" s="20" t="str">
        <f>'伤害统计(理想)'!A17</f>
        <v>六合4</v>
      </c>
      <c r="B17" s="20">
        <f>'伤害统计(理想)'!B17</f>
        <v>90</v>
      </c>
      <c r="C17" s="20">
        <f>'伤害统计(理想)'!C17</f>
        <v>34400</v>
      </c>
      <c r="D17" s="20">
        <f>'伤害统计(理想)'!D17</f>
        <v>45792</v>
      </c>
      <c r="E17" s="20">
        <f>'伤害统计(理想)'!E17</f>
        <v>0.854167</v>
      </c>
      <c r="F17" s="20">
        <f>'伤害统计(理想)'!F17</f>
        <v>1</v>
      </c>
      <c r="G17" s="20">
        <f>'伤害统计(理想)'!G17</f>
        <v>0</v>
      </c>
      <c r="H17" s="20">
        <f>'伤害统计(理想)'!H17</f>
        <v>1.05</v>
      </c>
      <c r="I17" s="20">
        <f>'伤害统计(理想)'!I17</f>
        <v>0.05</v>
      </c>
      <c r="J17" s="20">
        <f>'伤害统计(理想)'!J17</f>
        <v>0.472</v>
      </c>
      <c r="K17" s="20">
        <f>'伤害统计(理想)'!K17</f>
        <v>0.1181</v>
      </c>
      <c r="L17" s="20">
        <f>'伤害统计(理想)'!L17</f>
        <v>0.177214436704937</v>
      </c>
      <c r="M17" s="8">
        <f>M2</f>
        <v>0.349753</v>
      </c>
      <c r="N17" s="20">
        <f>'伤害统计(理想)'!N17</f>
        <v>0.2</v>
      </c>
      <c r="O17" s="20">
        <f>'伤害统计(理想)'!O17</f>
        <v>0.4994</v>
      </c>
      <c r="P17" s="20">
        <f>'伤害统计(理想)'!P17</f>
        <v>0</v>
      </c>
      <c r="Q17" s="20">
        <f>'伤害统计(理想)'!Q17</f>
        <v>0.4994</v>
      </c>
      <c r="R17" s="20">
        <f>'伤害统计(理想)'!R17</f>
        <v>0.2441</v>
      </c>
      <c r="S17" s="20">
        <f>'伤害统计(理想)'!S17</f>
        <v>0.7435</v>
      </c>
      <c r="T17" s="20">
        <f>'伤害统计(理想)'!T17</f>
        <v>2.0895</v>
      </c>
      <c r="U17" s="20">
        <f>'伤害统计(理想)'!U17</f>
        <v>0</v>
      </c>
      <c r="V17" s="20">
        <f>'伤害统计(理想)'!V17</f>
        <v>2.0895</v>
      </c>
      <c r="W17" s="20">
        <f>'伤害统计(理想)'!W17</f>
        <v>0.2441</v>
      </c>
      <c r="X17" s="20">
        <f>'伤害统计(理想)'!X17</f>
        <v>2.3336</v>
      </c>
      <c r="Y17" s="20">
        <f>'伤害统计(理想)'!Y17</f>
        <v>0.2441</v>
      </c>
      <c r="Z17" s="20">
        <f>'伤害统计(理想)'!Z17</f>
        <v>2.3336</v>
      </c>
      <c r="AA17" s="20">
        <f>'伤害统计(理想)'!AA17</f>
        <v>0.1953</v>
      </c>
      <c r="AB17" s="20">
        <f>'伤害统计(理想)'!AB17</f>
        <v>2.5289</v>
      </c>
      <c r="AC17" s="20">
        <f t="shared" si="0"/>
        <v>110360</v>
      </c>
      <c r="AD17" s="20">
        <f t="shared" si="1"/>
        <v>151717</v>
      </c>
      <c r="AE17" s="20">
        <f t="shared" si="2"/>
        <v>163890</v>
      </c>
      <c r="AF17" s="20">
        <f t="shared" si="3"/>
        <v>230597</v>
      </c>
      <c r="AG17" s="20">
        <f t="shared" si="4"/>
        <v>354046</v>
      </c>
      <c r="AH17" s="20">
        <f>INT(AE17*(T17+U17+0.4441+按提示输入属性!D64*0.1953))</f>
        <v>447239</v>
      </c>
      <c r="AI17" s="20">
        <f t="shared" si="5"/>
        <v>131038</v>
      </c>
      <c r="AJ17" s="20">
        <f t="shared" si="6"/>
        <v>305790</v>
      </c>
      <c r="AK17" s="20">
        <f t="shared" si="7"/>
        <v>141552</v>
      </c>
      <c r="AL17" s="20">
        <f t="shared" si="8"/>
        <v>330325</v>
      </c>
      <c r="AM17" s="20">
        <f t="shared" si="9"/>
        <v>383677</v>
      </c>
      <c r="AN17" s="20">
        <f t="shared" si="10"/>
        <v>414461</v>
      </c>
    </row>
    <row r="18" spans="1:40">
      <c r="A18" s="20" t="str">
        <f>'伤害统计(理想)'!A18</f>
        <v>六合5</v>
      </c>
      <c r="B18" s="20">
        <f>'伤害统计(理想)'!B18</f>
        <v>90</v>
      </c>
      <c r="C18" s="20">
        <f>'伤害统计(理想)'!C18</f>
        <v>34400</v>
      </c>
      <c r="D18" s="20">
        <f>'伤害统计(理想)'!D18</f>
        <v>45792</v>
      </c>
      <c r="E18" s="20">
        <f>'伤害统计(理想)'!E18</f>
        <v>0.854167</v>
      </c>
      <c r="F18" s="20">
        <f>'伤害统计(理想)'!F18</f>
        <v>1</v>
      </c>
      <c r="G18" s="20">
        <f>'伤害统计(理想)'!G18</f>
        <v>0</v>
      </c>
      <c r="H18" s="20">
        <f>'伤害统计(理想)'!H18</f>
        <v>1.4</v>
      </c>
      <c r="I18" s="20">
        <f>'伤害统计(理想)'!I18</f>
        <v>0.05</v>
      </c>
      <c r="J18" s="20">
        <f>'伤害统计(理想)'!J18</f>
        <v>0.472</v>
      </c>
      <c r="K18" s="20">
        <f>'伤害统计(理想)'!K18</f>
        <v>0.1181</v>
      </c>
      <c r="L18" s="20">
        <f>'伤害统计(理想)'!L18</f>
        <v>0.177214436704937</v>
      </c>
      <c r="M18" s="8">
        <f>M2</f>
        <v>0.349753</v>
      </c>
      <c r="N18" s="20">
        <f>'伤害统计(理想)'!N18</f>
        <v>0.2</v>
      </c>
      <c r="O18" s="20">
        <f>'伤害统计(理想)'!O18</f>
        <v>0.4994</v>
      </c>
      <c r="P18" s="20">
        <f>'伤害统计(理想)'!P18</f>
        <v>0</v>
      </c>
      <c r="Q18" s="20">
        <f>'伤害统计(理想)'!Q18</f>
        <v>0.4994</v>
      </c>
      <c r="R18" s="20">
        <f>'伤害统计(理想)'!R18</f>
        <v>0.2441</v>
      </c>
      <c r="S18" s="20">
        <f>'伤害统计(理想)'!S18</f>
        <v>0.7435</v>
      </c>
      <c r="T18" s="20">
        <f>'伤害统计(理想)'!T18</f>
        <v>2.0895</v>
      </c>
      <c r="U18" s="20">
        <f>'伤害统计(理想)'!U18</f>
        <v>0</v>
      </c>
      <c r="V18" s="20">
        <f>'伤害统计(理想)'!V18</f>
        <v>2.0895</v>
      </c>
      <c r="W18" s="20">
        <f>'伤害统计(理想)'!W18</f>
        <v>0.2441</v>
      </c>
      <c r="X18" s="20">
        <f>'伤害统计(理想)'!X18</f>
        <v>2.3336</v>
      </c>
      <c r="Y18" s="20">
        <f>'伤害统计(理想)'!Y18</f>
        <v>0.2441</v>
      </c>
      <c r="Z18" s="20">
        <f>'伤害统计(理想)'!Z18</f>
        <v>2.3336</v>
      </c>
      <c r="AA18" s="20">
        <f>'伤害统计(理想)'!AA18</f>
        <v>0.1953</v>
      </c>
      <c r="AB18" s="20">
        <f>'伤害统计(理想)'!AB18</f>
        <v>2.5289</v>
      </c>
      <c r="AC18" s="20">
        <f t="shared" si="0"/>
        <v>129202</v>
      </c>
      <c r="AD18" s="20">
        <f t="shared" si="1"/>
        <v>177620</v>
      </c>
      <c r="AE18" s="20">
        <f t="shared" si="2"/>
        <v>191871</v>
      </c>
      <c r="AF18" s="20">
        <f t="shared" si="3"/>
        <v>269967</v>
      </c>
      <c r="AG18" s="20">
        <f t="shared" si="4"/>
        <v>414494</v>
      </c>
      <c r="AH18" s="20">
        <f>INT(AE18*(T18+U18+0.4441+按提示输入属性!D64*0.1953))</f>
        <v>523596</v>
      </c>
      <c r="AI18" s="20">
        <f t="shared" si="5"/>
        <v>153411</v>
      </c>
      <c r="AJ18" s="20">
        <f t="shared" si="6"/>
        <v>357999</v>
      </c>
      <c r="AK18" s="20">
        <f t="shared" si="7"/>
        <v>165719</v>
      </c>
      <c r="AL18" s="20">
        <f t="shared" si="8"/>
        <v>386721</v>
      </c>
      <c r="AM18" s="20">
        <f t="shared" si="9"/>
        <v>449183</v>
      </c>
      <c r="AN18" s="20">
        <f t="shared" si="10"/>
        <v>485222</v>
      </c>
    </row>
    <row r="19" spans="1:40">
      <c r="A19" s="20" t="str">
        <f>'伤害统计(理想)'!A19</f>
        <v>破</v>
      </c>
      <c r="B19" s="20">
        <f>'伤害统计(理想)'!B19</f>
        <v>0</v>
      </c>
      <c r="C19" s="20">
        <f>'伤害统计(理想)'!C19</f>
        <v>0</v>
      </c>
      <c r="D19" s="20">
        <f>'伤害统计(理想)'!D19</f>
        <v>21804</v>
      </c>
      <c r="E19" s="20">
        <f>'伤害统计(理想)'!E19</f>
        <v>10.94936</v>
      </c>
      <c r="F19" s="20">
        <f>'伤害统计(理想)'!F19</f>
        <v>1</v>
      </c>
      <c r="G19" s="20">
        <f>'伤害统计(理想)'!G19</f>
        <v>0</v>
      </c>
      <c r="H19" s="20">
        <f>'伤害统计(理想)'!H19</f>
        <v>0</v>
      </c>
      <c r="I19" s="20">
        <f>'伤害统计(理想)'!I19</f>
        <v>0.05</v>
      </c>
      <c r="J19" s="20">
        <f>'伤害统计(理想)'!J19</f>
        <v>0.472</v>
      </c>
      <c r="K19" s="20">
        <f>'伤害统计(理想)'!K19</f>
        <v>0.1181</v>
      </c>
      <c r="L19" s="20">
        <f>'伤害统计(理想)'!L19</f>
        <v>0.177214436704937</v>
      </c>
      <c r="M19" s="8">
        <f>M2</f>
        <v>0.349753</v>
      </c>
      <c r="N19" s="20">
        <f>'伤害统计(理想)'!N19</f>
        <v>0.2</v>
      </c>
      <c r="O19" s="20">
        <f>'伤害统计(理想)'!O19</f>
        <v>0.4994</v>
      </c>
      <c r="P19" s="20">
        <f>'伤害统计(理想)'!P19</f>
        <v>0</v>
      </c>
      <c r="Q19" s="20">
        <f>'伤害统计(理想)'!Q19</f>
        <v>0.4994</v>
      </c>
      <c r="R19" s="20">
        <f>'伤害统计(理想)'!R19</f>
        <v>0.2441</v>
      </c>
      <c r="S19" s="20">
        <f>'伤害统计(理想)'!S19</f>
        <v>0.7435</v>
      </c>
      <c r="T19" s="20">
        <f>'伤害统计(理想)'!T19</f>
        <v>2.0895</v>
      </c>
      <c r="U19" s="20">
        <f>'伤害统计(理想)'!U19</f>
        <v>0</v>
      </c>
      <c r="V19" s="20">
        <f>'伤害统计(理想)'!V19</f>
        <v>2.0895</v>
      </c>
      <c r="W19" s="20">
        <f>'伤害统计(理想)'!W19</f>
        <v>0.2441</v>
      </c>
      <c r="X19" s="20">
        <f>'伤害统计(理想)'!X19</f>
        <v>2.3336</v>
      </c>
      <c r="Y19" s="20">
        <f>'伤害统计(理想)'!Y19</f>
        <v>0.2441</v>
      </c>
      <c r="Z19" s="20">
        <f>'伤害统计(理想)'!Z19</f>
        <v>2.3336</v>
      </c>
      <c r="AA19" s="20">
        <f>'伤害统计(理想)'!AA19</f>
        <v>0.1953</v>
      </c>
      <c r="AB19" s="20">
        <f>'伤害统计(理想)'!AB19</f>
        <v>2.5289</v>
      </c>
      <c r="AC19" s="20">
        <f t="shared" si="0"/>
        <v>327832</v>
      </c>
      <c r="AD19" s="20">
        <f t="shared" si="1"/>
        <v>327833</v>
      </c>
      <c r="AE19" s="20">
        <f t="shared" si="2"/>
        <v>354135</v>
      </c>
      <c r="AF19" s="20">
        <f t="shared" si="3"/>
        <v>685004</v>
      </c>
      <c r="AG19" s="20">
        <f t="shared" si="4"/>
        <v>765031</v>
      </c>
      <c r="AH19" s="20">
        <f t="shared" ref="AH19:AH32" si="12">INT(AE19*(T19+U19+0.4441))</f>
        <v>897236</v>
      </c>
      <c r="AI19" s="20">
        <f t="shared" si="5"/>
        <v>327833</v>
      </c>
      <c r="AJ19" s="20">
        <f t="shared" si="6"/>
        <v>765031</v>
      </c>
      <c r="AK19" s="20">
        <f t="shared" si="7"/>
        <v>354135</v>
      </c>
      <c r="AL19" s="20">
        <f t="shared" si="8"/>
        <v>826409</v>
      </c>
      <c r="AM19" s="20">
        <f t="shared" si="9"/>
        <v>829056</v>
      </c>
      <c r="AN19" s="20">
        <f t="shared" si="10"/>
        <v>895572</v>
      </c>
    </row>
    <row r="20" spans="1:40">
      <c r="A20" s="20" t="str">
        <f>'伤害统计(理想)'!A20</f>
        <v>破(3.5</v>
      </c>
      <c r="B20" s="20">
        <f>'伤害统计(理想)'!B20</f>
        <v>0</v>
      </c>
      <c r="C20" s="20">
        <f>'伤害统计(理想)'!C20</f>
        <v>0</v>
      </c>
      <c r="D20" s="20">
        <f>'伤害统计(理想)'!D20</f>
        <v>21804</v>
      </c>
      <c r="E20" s="20">
        <f>'伤害统计(理想)'!E20</f>
        <v>3.9576</v>
      </c>
      <c r="F20" s="20">
        <f>'伤害统计(理想)'!F20</f>
        <v>1</v>
      </c>
      <c r="G20" s="20">
        <f>'伤害统计(理想)'!G20</f>
        <v>0</v>
      </c>
      <c r="H20" s="20">
        <f>'伤害统计(理想)'!H20</f>
        <v>0</v>
      </c>
      <c r="I20" s="20">
        <f>'伤害统计(理想)'!I20</f>
        <v>0.05</v>
      </c>
      <c r="J20" s="20">
        <f>'伤害统计(理想)'!J20</f>
        <v>0.472</v>
      </c>
      <c r="K20" s="20">
        <f>'伤害统计(理想)'!K20</f>
        <v>0.1181</v>
      </c>
      <c r="L20" s="20">
        <f>'伤害统计(理想)'!L20</f>
        <v>0.177214436704937</v>
      </c>
      <c r="M20" s="8">
        <f>M2</f>
        <v>0.349753</v>
      </c>
      <c r="N20" s="20">
        <f>'伤害统计(理想)'!N20</f>
        <v>0.2</v>
      </c>
      <c r="O20" s="20">
        <f>'伤害统计(理想)'!O20</f>
        <v>0.4994</v>
      </c>
      <c r="P20" s="20">
        <f>'伤害统计(理想)'!P20</f>
        <v>0</v>
      </c>
      <c r="Q20" s="20">
        <f>'伤害统计(理想)'!Q20</f>
        <v>0.4994</v>
      </c>
      <c r="R20" s="20">
        <f>'伤害统计(理想)'!R20</f>
        <v>0.2441</v>
      </c>
      <c r="S20" s="20">
        <f>'伤害统计(理想)'!S20</f>
        <v>0.7435</v>
      </c>
      <c r="T20" s="20">
        <f>'伤害统计(理想)'!T20</f>
        <v>2.0895</v>
      </c>
      <c r="U20" s="20">
        <f>'伤害统计(理想)'!U20</f>
        <v>0</v>
      </c>
      <c r="V20" s="20">
        <f>'伤害统计(理想)'!V20</f>
        <v>2.0895</v>
      </c>
      <c r="W20" s="20">
        <f>'伤害统计(理想)'!W20</f>
        <v>0.2441</v>
      </c>
      <c r="X20" s="20">
        <f>'伤害统计(理想)'!X20</f>
        <v>2.3336</v>
      </c>
      <c r="Y20" s="20">
        <f>'伤害统计(理想)'!Y20</f>
        <v>0.2441</v>
      </c>
      <c r="Z20" s="20">
        <f>'伤害统计(理想)'!Z20</f>
        <v>2.3336</v>
      </c>
      <c r="AA20" s="20">
        <f>'伤害统计(理想)'!AA20</f>
        <v>0.1953</v>
      </c>
      <c r="AB20" s="20">
        <f>'伤害统计(理想)'!AB20</f>
        <v>2.5289</v>
      </c>
      <c r="AC20" s="20">
        <f t="shared" si="0"/>
        <v>118493</v>
      </c>
      <c r="AD20" s="20">
        <f t="shared" si="1"/>
        <v>118493</v>
      </c>
      <c r="AE20" s="20">
        <f t="shared" si="2"/>
        <v>128000</v>
      </c>
      <c r="AF20" s="20">
        <f t="shared" si="3"/>
        <v>247591</v>
      </c>
      <c r="AG20" s="20">
        <f t="shared" si="4"/>
        <v>276515</v>
      </c>
      <c r="AH20" s="20">
        <f t="shared" si="12"/>
        <v>324300</v>
      </c>
      <c r="AI20" s="20">
        <f t="shared" si="5"/>
        <v>118493</v>
      </c>
      <c r="AJ20" s="20">
        <f t="shared" si="6"/>
        <v>276515</v>
      </c>
      <c r="AK20" s="20">
        <f t="shared" si="7"/>
        <v>128000</v>
      </c>
      <c r="AL20" s="20">
        <f t="shared" si="8"/>
        <v>298700</v>
      </c>
      <c r="AM20" s="20">
        <f t="shared" si="9"/>
        <v>299656</v>
      </c>
      <c r="AN20" s="20">
        <f t="shared" si="10"/>
        <v>323699</v>
      </c>
    </row>
    <row r="21" spans="1:40">
      <c r="A21" s="20" t="str">
        <f>'伤害统计(理想)'!A21</f>
        <v>破(万世二段</v>
      </c>
      <c r="B21" s="20">
        <f>'伤害统计(理想)'!B21</f>
        <v>0</v>
      </c>
      <c r="C21" s="20">
        <f>'伤害统计(理想)'!C21</f>
        <v>0</v>
      </c>
      <c r="D21" s="20">
        <f>'伤害统计(理想)'!D21</f>
        <v>21804</v>
      </c>
      <c r="E21" s="20">
        <f>'伤害统计(理想)'!E21</f>
        <v>7.9152</v>
      </c>
      <c r="F21" s="20">
        <f>'伤害统计(理想)'!F21</f>
        <v>1</v>
      </c>
      <c r="G21" s="20">
        <f>'伤害统计(理想)'!G21</f>
        <v>0</v>
      </c>
      <c r="H21" s="20">
        <f>'伤害统计(理想)'!H21</f>
        <v>0</v>
      </c>
      <c r="I21" s="20">
        <f>'伤害统计(理想)'!I21</f>
        <v>0.05</v>
      </c>
      <c r="J21" s="20">
        <f>'伤害统计(理想)'!J21</f>
        <v>0.472</v>
      </c>
      <c r="K21" s="20">
        <f>'伤害统计(理想)'!K21</f>
        <v>0.1181</v>
      </c>
      <c r="L21" s="20">
        <f>'伤害统计(理想)'!L21</f>
        <v>0.177214436704937</v>
      </c>
      <c r="M21" s="8">
        <f>M2</f>
        <v>0.349753</v>
      </c>
      <c r="N21" s="20">
        <f>'伤害统计(理想)'!N21</f>
        <v>0.2</v>
      </c>
      <c r="O21" s="20">
        <f>'伤害统计(理想)'!O21</f>
        <v>0.4994</v>
      </c>
      <c r="P21" s="20">
        <f>'伤害统计(理想)'!P21</f>
        <v>0</v>
      </c>
      <c r="Q21" s="20">
        <f>'伤害统计(理想)'!Q21</f>
        <v>0.4994</v>
      </c>
      <c r="R21" s="20">
        <f>'伤害统计(理想)'!R21</f>
        <v>0.2441</v>
      </c>
      <c r="S21" s="20">
        <f>'伤害统计(理想)'!S21</f>
        <v>0.7435</v>
      </c>
      <c r="T21" s="20">
        <f>'伤害统计(理想)'!T21</f>
        <v>2.0895</v>
      </c>
      <c r="U21" s="20">
        <f>'伤害统计(理想)'!U21</f>
        <v>0</v>
      </c>
      <c r="V21" s="20">
        <f>'伤害统计(理想)'!V21</f>
        <v>2.0895</v>
      </c>
      <c r="W21" s="20">
        <f>'伤害统计(理想)'!W21</f>
        <v>0.2441</v>
      </c>
      <c r="X21" s="20">
        <f>'伤害统计(理想)'!X21</f>
        <v>2.3336</v>
      </c>
      <c r="Y21" s="20">
        <f>'伤害统计(理想)'!Y21</f>
        <v>0.2441</v>
      </c>
      <c r="Z21" s="20">
        <f>'伤害统计(理想)'!Z21</f>
        <v>2.3336</v>
      </c>
      <c r="AA21" s="20">
        <f>'伤害统计(理想)'!AA21</f>
        <v>0.1953</v>
      </c>
      <c r="AB21" s="20">
        <f>'伤害统计(理想)'!AB21</f>
        <v>2.5289</v>
      </c>
      <c r="AC21" s="20">
        <f t="shared" si="0"/>
        <v>236987</v>
      </c>
      <c r="AD21" s="20">
        <f t="shared" si="1"/>
        <v>236987</v>
      </c>
      <c r="AE21" s="20">
        <f t="shared" si="2"/>
        <v>256001</v>
      </c>
      <c r="AF21" s="20">
        <f t="shared" si="3"/>
        <v>495184</v>
      </c>
      <c r="AG21" s="20">
        <f t="shared" si="4"/>
        <v>553032</v>
      </c>
      <c r="AH21" s="20">
        <f t="shared" si="12"/>
        <v>648604</v>
      </c>
      <c r="AI21" s="20">
        <f t="shared" si="5"/>
        <v>236987</v>
      </c>
      <c r="AJ21" s="20">
        <f t="shared" si="6"/>
        <v>553032</v>
      </c>
      <c r="AK21" s="20">
        <f t="shared" si="7"/>
        <v>256001</v>
      </c>
      <c r="AL21" s="20">
        <f t="shared" si="8"/>
        <v>597403</v>
      </c>
      <c r="AM21" s="20">
        <f t="shared" si="9"/>
        <v>599316</v>
      </c>
      <c r="AN21" s="20">
        <f t="shared" si="10"/>
        <v>647400</v>
      </c>
    </row>
    <row r="22" spans="1:40">
      <c r="A22" s="20" t="str">
        <f>'伤害统计(理想)'!A22</f>
        <v>三才化生</v>
      </c>
      <c r="B22" s="20">
        <f>'伤害统计(理想)'!B22</f>
        <v>81</v>
      </c>
      <c r="C22" s="20">
        <f>'伤害统计(理想)'!C22</f>
        <v>34400</v>
      </c>
      <c r="D22" s="20">
        <f>'伤害统计(理想)'!D22</f>
        <v>45792</v>
      </c>
      <c r="E22" s="20">
        <f>'伤害统计(理想)'!E22</f>
        <v>0.08</v>
      </c>
      <c r="F22" s="20">
        <f>'伤害统计(理想)'!F22</f>
        <v>1</v>
      </c>
      <c r="G22" s="20">
        <f>'伤害统计(理想)'!G22</f>
        <v>0</v>
      </c>
      <c r="H22" s="20">
        <f>'伤害统计(理想)'!H22</f>
        <v>0</v>
      </c>
      <c r="I22" s="20">
        <f>'伤害统计(理想)'!I22</f>
        <v>0.05</v>
      </c>
      <c r="J22" s="20">
        <f>'伤害统计(理想)'!J22</f>
        <v>0.472</v>
      </c>
      <c r="K22" s="20">
        <f>'伤害统计(理想)'!K22</f>
        <v>0.1181</v>
      </c>
      <c r="L22" s="20">
        <f>'伤害统计(理想)'!L22</f>
        <v>0.177214436704937</v>
      </c>
      <c r="M22" s="8">
        <f>M2</f>
        <v>0.349753</v>
      </c>
      <c r="N22" s="20">
        <f>'伤害统计(理想)'!N22</f>
        <v>0.2</v>
      </c>
      <c r="O22" s="20">
        <f>'伤害统计(理想)'!O22</f>
        <v>0.4994</v>
      </c>
      <c r="P22" s="20">
        <f>'伤害统计(理想)'!P22</f>
        <v>0</v>
      </c>
      <c r="Q22" s="20">
        <f>'伤害统计(理想)'!Q22</f>
        <v>0.4994</v>
      </c>
      <c r="R22" s="20">
        <f>'伤害统计(理想)'!R22</f>
        <v>0.2441</v>
      </c>
      <c r="S22" s="20">
        <f>'伤害统计(理想)'!S22</f>
        <v>0.7435</v>
      </c>
      <c r="T22" s="20">
        <f>'伤害统计(理想)'!T22</f>
        <v>2.0895</v>
      </c>
      <c r="U22" s="20">
        <f>'伤害统计(理想)'!U22</f>
        <v>0</v>
      </c>
      <c r="V22" s="20">
        <f>'伤害统计(理想)'!V22</f>
        <v>2.0895</v>
      </c>
      <c r="W22" s="20">
        <f>'伤害统计(理想)'!W22</f>
        <v>0.2441</v>
      </c>
      <c r="X22" s="20">
        <f>'伤害统计(理想)'!X22</f>
        <v>2.3336</v>
      </c>
      <c r="Y22" s="20">
        <f>'伤害统计(理想)'!Y22</f>
        <v>0.2441</v>
      </c>
      <c r="Z22" s="20">
        <f>'伤害统计(理想)'!Z22</f>
        <v>2.3336</v>
      </c>
      <c r="AA22" s="20">
        <f>'伤害统计(理想)'!AA22</f>
        <v>0.1953</v>
      </c>
      <c r="AB22" s="20">
        <f>'伤害统计(理想)'!AB22</f>
        <v>2.5289</v>
      </c>
      <c r="AC22" s="20">
        <f t="shared" si="0"/>
        <v>5141</v>
      </c>
      <c r="AD22" s="20">
        <f t="shared" si="1"/>
        <v>7031</v>
      </c>
      <c r="AE22" s="20">
        <f t="shared" si="2"/>
        <v>7595</v>
      </c>
      <c r="AF22" s="20">
        <f t="shared" si="3"/>
        <v>10742</v>
      </c>
      <c r="AG22" s="20">
        <f t="shared" si="4"/>
        <v>16407</v>
      </c>
      <c r="AH22" s="20">
        <f t="shared" si="12"/>
        <v>19242</v>
      </c>
      <c r="AI22" s="20">
        <f t="shared" si="5"/>
        <v>6086</v>
      </c>
      <c r="AJ22" s="20">
        <f t="shared" si="6"/>
        <v>14202</v>
      </c>
      <c r="AK22" s="20">
        <f t="shared" si="7"/>
        <v>6574</v>
      </c>
      <c r="AL22" s="20">
        <f t="shared" si="8"/>
        <v>15341</v>
      </c>
      <c r="AM22" s="20">
        <f t="shared" si="9"/>
        <v>17780</v>
      </c>
      <c r="AN22" s="20">
        <f t="shared" si="10"/>
        <v>19206</v>
      </c>
    </row>
    <row r="23" spans="1:40">
      <c r="A23" s="20" t="str">
        <f>'伤害统计(理想)'!A23</f>
        <v>厚亡</v>
      </c>
      <c r="B23" s="20">
        <f>'伤害统计(理想)'!B23</f>
        <v>35</v>
      </c>
      <c r="C23" s="20">
        <f>'伤害统计(理想)'!C23</f>
        <v>34400</v>
      </c>
      <c r="D23" s="20">
        <f>'伤害统计(理想)'!D23</f>
        <v>45792</v>
      </c>
      <c r="E23" s="20">
        <f>'伤害统计(理想)'!E23</f>
        <v>1.625</v>
      </c>
      <c r="F23" s="20">
        <f>'伤害统计(理想)'!F23</f>
        <v>1</v>
      </c>
      <c r="G23" s="20">
        <f>'伤害统计(理想)'!G23</f>
        <v>0</v>
      </c>
      <c r="H23" s="20">
        <f>'伤害统计(理想)'!H23</f>
        <v>0</v>
      </c>
      <c r="I23" s="20">
        <f>'伤害统计(理想)'!I23</f>
        <v>0.05</v>
      </c>
      <c r="J23" s="20">
        <f>'伤害统计(理想)'!J23</f>
        <v>0.472</v>
      </c>
      <c r="K23" s="20">
        <f>'伤害统计(理想)'!K23</f>
        <v>0.1181</v>
      </c>
      <c r="L23" s="20">
        <f>'伤害统计(理想)'!L23</f>
        <v>0.177214436704937</v>
      </c>
      <c r="M23" s="8">
        <f>M2</f>
        <v>0.349753</v>
      </c>
      <c r="N23" s="20">
        <f>'伤害统计(理想)'!N23</f>
        <v>0.2</v>
      </c>
      <c r="O23" s="20">
        <f>'伤害统计(理想)'!O23</f>
        <v>0.4994</v>
      </c>
      <c r="P23" s="20">
        <f>'伤害统计(理想)'!P23</f>
        <v>0</v>
      </c>
      <c r="Q23" s="20">
        <f>'伤害统计(理想)'!Q23</f>
        <v>0.4994</v>
      </c>
      <c r="R23" s="20">
        <f>'伤害统计(理想)'!R23</f>
        <v>0.2441</v>
      </c>
      <c r="S23" s="20">
        <f>'伤害统计(理想)'!S23</f>
        <v>0.7435</v>
      </c>
      <c r="T23" s="20">
        <f>'伤害统计(理想)'!T23</f>
        <v>2.0895</v>
      </c>
      <c r="U23" s="20">
        <f>'伤害统计(理想)'!U23</f>
        <v>0</v>
      </c>
      <c r="V23" s="20">
        <f>'伤害统计(理想)'!V23</f>
        <v>2.0895</v>
      </c>
      <c r="W23" s="20">
        <f>'伤害统计(理想)'!W23</f>
        <v>0.2441</v>
      </c>
      <c r="X23" s="20">
        <f>'伤害统计(理想)'!X23</f>
        <v>2.3336</v>
      </c>
      <c r="Y23" s="20">
        <f>'伤害统计(理想)'!Y23</f>
        <v>0.2441</v>
      </c>
      <c r="Z23" s="20">
        <f>'伤害统计(理想)'!Z23</f>
        <v>2.3336</v>
      </c>
      <c r="AA23" s="20">
        <f>'伤害统计(理想)'!AA23</f>
        <v>0.1953</v>
      </c>
      <c r="AB23" s="20">
        <f>'伤害统计(理想)'!AB23</f>
        <v>2.5289</v>
      </c>
      <c r="AC23" s="20">
        <f t="shared" si="0"/>
        <v>102229</v>
      </c>
      <c r="AD23" s="20">
        <f t="shared" si="1"/>
        <v>140609</v>
      </c>
      <c r="AE23" s="20">
        <f t="shared" si="2"/>
        <v>151890</v>
      </c>
      <c r="AF23" s="20">
        <f t="shared" si="3"/>
        <v>213607</v>
      </c>
      <c r="AG23" s="20">
        <f t="shared" si="4"/>
        <v>328125</v>
      </c>
      <c r="AH23" s="20">
        <f t="shared" si="12"/>
        <v>384828</v>
      </c>
      <c r="AI23" s="20">
        <f t="shared" si="5"/>
        <v>121419</v>
      </c>
      <c r="AJ23" s="20">
        <f t="shared" si="6"/>
        <v>283343</v>
      </c>
      <c r="AK23" s="20">
        <f t="shared" si="7"/>
        <v>131161</v>
      </c>
      <c r="AL23" s="20">
        <f t="shared" si="8"/>
        <v>306077</v>
      </c>
      <c r="AM23" s="20">
        <f t="shared" si="9"/>
        <v>355586</v>
      </c>
      <c r="AN23" s="20">
        <f t="shared" si="10"/>
        <v>384114</v>
      </c>
    </row>
    <row r="24" spans="1:40">
      <c r="A24" s="20" t="str">
        <f>'伤害统计(理想)'!A24</f>
        <v>刃凌</v>
      </c>
      <c r="B24" s="20">
        <f>'伤害统计(理想)'!B24</f>
        <v>48</v>
      </c>
      <c r="C24" s="20">
        <f>'伤害统计(理想)'!C24</f>
        <v>34400</v>
      </c>
      <c r="D24" s="20">
        <f>'伤害统计(理想)'!D24</f>
        <v>45792</v>
      </c>
      <c r="E24" s="20">
        <f>'伤害统计(理想)'!E24</f>
        <v>0.260417</v>
      </c>
      <c r="F24" s="20">
        <f>'伤害统计(理想)'!F24</f>
        <v>1</v>
      </c>
      <c r="G24" s="20">
        <f>'伤害统计(理想)'!G24</f>
        <v>0</v>
      </c>
      <c r="H24" s="20">
        <f>'伤害统计(理想)'!H24</f>
        <v>0</v>
      </c>
      <c r="I24" s="20">
        <f>'伤害统计(理想)'!I24</f>
        <v>0.05</v>
      </c>
      <c r="J24" s="20">
        <f>'伤害统计(理想)'!J24</f>
        <v>0.472</v>
      </c>
      <c r="K24" s="20">
        <f>'伤害统计(理想)'!K24</f>
        <v>0.1181</v>
      </c>
      <c r="L24" s="20">
        <f>'伤害统计(理想)'!L24</f>
        <v>0.177214436704937</v>
      </c>
      <c r="M24" s="8">
        <f>M2</f>
        <v>0.349753</v>
      </c>
      <c r="N24" s="20">
        <f>'伤害统计(理想)'!N24</f>
        <v>0.2</v>
      </c>
      <c r="O24" s="20">
        <f>'伤害统计(理想)'!O24</f>
        <v>0.4994</v>
      </c>
      <c r="P24" s="20">
        <f>'伤害统计(理想)'!P24</f>
        <v>0</v>
      </c>
      <c r="Q24" s="20">
        <f>'伤害统计(理想)'!Q24</f>
        <v>0.4994</v>
      </c>
      <c r="R24" s="20">
        <f>'伤害统计(理想)'!R24</f>
        <v>0.2441</v>
      </c>
      <c r="S24" s="20">
        <f>'伤害统计(理想)'!S24</f>
        <v>0.7435</v>
      </c>
      <c r="T24" s="20">
        <f>'伤害统计(理想)'!T24</f>
        <v>2.0895</v>
      </c>
      <c r="U24" s="20">
        <f>'伤害统计(理想)'!U24</f>
        <v>0</v>
      </c>
      <c r="V24" s="20">
        <f>'伤害统计(理想)'!V24</f>
        <v>2.0895</v>
      </c>
      <c r="W24" s="20">
        <f>'伤害统计(理想)'!W24</f>
        <v>0.2441</v>
      </c>
      <c r="X24" s="20">
        <f>'伤害统计(理想)'!X24</f>
        <v>2.3336</v>
      </c>
      <c r="Y24" s="20">
        <f>'伤害统计(理想)'!Y24</f>
        <v>0.2441</v>
      </c>
      <c r="Z24" s="20">
        <f>'伤害统计(理想)'!Z24</f>
        <v>2.3336</v>
      </c>
      <c r="AA24" s="20">
        <f>'伤害统计(理想)'!AA24</f>
        <v>0.1953</v>
      </c>
      <c r="AB24" s="20">
        <f>'伤害统计(理想)'!AB24</f>
        <v>2.5289</v>
      </c>
      <c r="AC24" s="20">
        <f t="shared" si="0"/>
        <v>16441</v>
      </c>
      <c r="AD24" s="20">
        <f t="shared" si="1"/>
        <v>22591</v>
      </c>
      <c r="AE24" s="20">
        <f t="shared" si="2"/>
        <v>24404</v>
      </c>
      <c r="AF24" s="20">
        <f t="shared" si="3"/>
        <v>34353</v>
      </c>
      <c r="AG24" s="20">
        <f t="shared" si="4"/>
        <v>52718</v>
      </c>
      <c r="AH24" s="20">
        <f t="shared" si="12"/>
        <v>61829</v>
      </c>
      <c r="AI24" s="20">
        <f t="shared" si="5"/>
        <v>19516</v>
      </c>
      <c r="AJ24" s="20">
        <f t="shared" si="6"/>
        <v>45542</v>
      </c>
      <c r="AK24" s="20">
        <f t="shared" si="7"/>
        <v>21082</v>
      </c>
      <c r="AL24" s="20">
        <f t="shared" si="8"/>
        <v>49196</v>
      </c>
      <c r="AM24" s="20">
        <f t="shared" si="9"/>
        <v>57130</v>
      </c>
      <c r="AN24" s="20">
        <f t="shared" si="10"/>
        <v>61715</v>
      </c>
    </row>
    <row r="25" spans="1:40">
      <c r="A25" s="20" t="str">
        <f>'伤害统计(理想)'!A25</f>
        <v>昆吾·弦刃</v>
      </c>
      <c r="B25" s="20">
        <f>'伤害统计(理想)'!B25</f>
        <v>48</v>
      </c>
      <c r="C25" s="20">
        <f>'伤害统计(理想)'!C25</f>
        <v>34400</v>
      </c>
      <c r="D25" s="20">
        <f>'伤害统计(理想)'!D25</f>
        <v>45792</v>
      </c>
      <c r="E25" s="20">
        <f>'伤害统计(理想)'!E25</f>
        <v>0.46875</v>
      </c>
      <c r="F25" s="20">
        <f>'伤害统计(理想)'!F25</f>
        <v>1</v>
      </c>
      <c r="G25" s="20">
        <f>'伤害统计(理想)'!G25</f>
        <v>0</v>
      </c>
      <c r="H25" s="20">
        <f>'伤害统计(理想)'!H25</f>
        <v>0</v>
      </c>
      <c r="I25" s="20">
        <f>'伤害统计(理想)'!I25</f>
        <v>0.05</v>
      </c>
      <c r="J25" s="20">
        <f>'伤害统计(理想)'!J25</f>
        <v>0.472</v>
      </c>
      <c r="K25" s="20">
        <f>'伤害统计(理想)'!K25</f>
        <v>0.1181</v>
      </c>
      <c r="L25" s="20">
        <f>'伤害统计(理想)'!L25</f>
        <v>0.177214436704937</v>
      </c>
      <c r="M25" s="8">
        <f>M2</f>
        <v>0.349753</v>
      </c>
      <c r="N25" s="20">
        <f>'伤害统计(理想)'!N25</f>
        <v>0.2</v>
      </c>
      <c r="O25" s="20">
        <f>'伤害统计(理想)'!O25</f>
        <v>0.4994</v>
      </c>
      <c r="P25" s="20">
        <f>'伤害统计(理想)'!P25</f>
        <v>0</v>
      </c>
      <c r="Q25" s="20">
        <f>'伤害统计(理想)'!Q25</f>
        <v>0.4994</v>
      </c>
      <c r="R25" s="20">
        <f>'伤害统计(理想)'!R25</f>
        <v>0.2441</v>
      </c>
      <c r="S25" s="20">
        <f>'伤害统计(理想)'!S25</f>
        <v>0.7435</v>
      </c>
      <c r="T25" s="20">
        <f>'伤害统计(理想)'!T25</f>
        <v>2.0895</v>
      </c>
      <c r="U25" s="20">
        <f>'伤害统计(理想)'!U25</f>
        <v>0</v>
      </c>
      <c r="V25" s="20">
        <f>'伤害统计(理想)'!V25</f>
        <v>2.0895</v>
      </c>
      <c r="W25" s="20">
        <f>'伤害统计(理想)'!W25</f>
        <v>0.2441</v>
      </c>
      <c r="X25" s="20">
        <f>'伤害统计(理想)'!X25</f>
        <v>2.3336</v>
      </c>
      <c r="Y25" s="20">
        <f>'伤害统计(理想)'!Y25</f>
        <v>0.2441</v>
      </c>
      <c r="Z25" s="20">
        <f>'伤害统计(理想)'!Z25</f>
        <v>2.3336</v>
      </c>
      <c r="AA25" s="20">
        <f>'伤害统计(理想)'!AA25</f>
        <v>0.1953</v>
      </c>
      <c r="AB25" s="20">
        <f>'伤害统计(理想)'!AB25</f>
        <v>2.5289</v>
      </c>
      <c r="AC25" s="20">
        <f t="shared" si="0"/>
        <v>29541</v>
      </c>
      <c r="AD25" s="20">
        <f t="shared" si="1"/>
        <v>40612</v>
      </c>
      <c r="AE25" s="20">
        <f t="shared" si="2"/>
        <v>43870</v>
      </c>
      <c r="AF25" s="20">
        <f t="shared" si="3"/>
        <v>61725</v>
      </c>
      <c r="AG25" s="20">
        <f t="shared" si="4"/>
        <v>94772</v>
      </c>
      <c r="AH25" s="20">
        <f t="shared" si="12"/>
        <v>111149</v>
      </c>
      <c r="AI25" s="20">
        <f t="shared" si="5"/>
        <v>35076</v>
      </c>
      <c r="AJ25" s="20">
        <f t="shared" si="6"/>
        <v>81853</v>
      </c>
      <c r="AK25" s="20">
        <f t="shared" si="7"/>
        <v>37891</v>
      </c>
      <c r="AL25" s="20">
        <f t="shared" si="8"/>
        <v>88422</v>
      </c>
      <c r="AM25" s="20">
        <f t="shared" si="9"/>
        <v>102703</v>
      </c>
      <c r="AN25" s="20">
        <f t="shared" si="10"/>
        <v>110942</v>
      </c>
    </row>
    <row r="26" spans="1:40">
      <c r="A26" s="20" t="str">
        <f>'伤害统计(理想)'!A26</f>
        <v>腾空·三才</v>
      </c>
      <c r="B26" s="20">
        <f>'伤害统计(理想)'!B26</f>
        <v>550865</v>
      </c>
      <c r="C26" s="20">
        <f>'伤害统计(理想)'!C26</f>
        <v>34400</v>
      </c>
      <c r="D26" s="20">
        <f>'伤害统计(理想)'!D26</f>
        <v>0</v>
      </c>
      <c r="E26" s="20">
        <f>'伤害统计(理想)'!E26</f>
        <v>1</v>
      </c>
      <c r="F26" s="20">
        <f>'伤害统计(理想)'!F26</f>
        <v>1</v>
      </c>
      <c r="G26" s="20">
        <f>'伤害统计(理想)'!G26</f>
        <v>0</v>
      </c>
      <c r="H26" s="20">
        <f>'伤害统计(理想)'!H26</f>
        <v>0</v>
      </c>
      <c r="I26" s="20">
        <f>'伤害统计(理想)'!I26</f>
        <v>0.05</v>
      </c>
      <c r="J26" s="20">
        <f>'伤害统计(理想)'!J26</f>
        <v>0.472</v>
      </c>
      <c r="K26" s="20">
        <f>'伤害统计(理想)'!K26</f>
        <v>0.1181</v>
      </c>
      <c r="L26" s="20">
        <f>'伤害统计(理想)'!L26</f>
        <v>0.177214436704937</v>
      </c>
      <c r="M26" s="8">
        <f>M2</f>
        <v>0.349753</v>
      </c>
      <c r="N26" s="20">
        <f>'伤害统计(理想)'!N26</f>
        <v>0.2</v>
      </c>
      <c r="O26" s="20">
        <f>'伤害统计(理想)'!O26</f>
        <v>0.4994</v>
      </c>
      <c r="P26" s="20">
        <f>'伤害统计(理想)'!P26</f>
        <v>0</v>
      </c>
      <c r="Q26" s="20">
        <f>'伤害统计(理想)'!Q26</f>
        <v>0.4994</v>
      </c>
      <c r="R26" s="20">
        <f>'伤害统计(理想)'!R26</f>
        <v>0.2441</v>
      </c>
      <c r="S26" s="20">
        <f>'伤害统计(理想)'!S26</f>
        <v>0.7435</v>
      </c>
      <c r="T26" s="20">
        <f>'伤害统计(理想)'!T26</f>
        <v>2.0895</v>
      </c>
      <c r="U26" s="20">
        <f>'伤害统计(理想)'!U26</f>
        <v>0</v>
      </c>
      <c r="V26" s="20">
        <f>'伤害统计(理想)'!V26</f>
        <v>2.0895</v>
      </c>
      <c r="W26" s="20">
        <f>'伤害统计(理想)'!W26</f>
        <v>0.2441</v>
      </c>
      <c r="X26" s="20">
        <f>'伤害统计(理想)'!X26</f>
        <v>2.3336</v>
      </c>
      <c r="Y26" s="20">
        <f>'伤害统计(理想)'!Y26</f>
        <v>0.2441</v>
      </c>
      <c r="Z26" s="20">
        <f>'伤害统计(理想)'!Z26</f>
        <v>2.3336</v>
      </c>
      <c r="AA26" s="20">
        <f>'伤害统计(理想)'!AA26</f>
        <v>0.1953</v>
      </c>
      <c r="AB26" s="20">
        <f>'伤害统计(理想)'!AB26</f>
        <v>2.5289</v>
      </c>
      <c r="AC26" s="20">
        <f t="shared" si="0"/>
        <v>756437</v>
      </c>
      <c r="AD26" s="20">
        <f t="shared" si="1"/>
        <v>780056</v>
      </c>
      <c r="AE26" s="20">
        <f t="shared" si="2"/>
        <v>842641</v>
      </c>
      <c r="AF26" s="20">
        <f t="shared" si="3"/>
        <v>1580575</v>
      </c>
      <c r="AG26" s="20">
        <f t="shared" si="4"/>
        <v>1820338</v>
      </c>
      <c r="AH26" s="20">
        <f t="shared" si="12"/>
        <v>2134915</v>
      </c>
      <c r="AI26" s="20">
        <f t="shared" si="5"/>
        <v>768247</v>
      </c>
      <c r="AJ26" s="20">
        <f t="shared" si="6"/>
        <v>1792781</v>
      </c>
      <c r="AK26" s="20">
        <f t="shared" si="7"/>
        <v>829884</v>
      </c>
      <c r="AL26" s="20">
        <f t="shared" si="8"/>
        <v>1936617</v>
      </c>
      <c r="AM26" s="20">
        <f t="shared" si="9"/>
        <v>1972683</v>
      </c>
      <c r="AN26" s="20">
        <f t="shared" si="10"/>
        <v>2130954</v>
      </c>
    </row>
    <row r="27" spans="1:40">
      <c r="A27" s="20" t="str">
        <f>'伤害统计(理想)'!A27</f>
        <v>腾空·凭虚</v>
      </c>
      <c r="B27" s="20">
        <f>'伤害统计(理想)'!B27</f>
        <v>568199</v>
      </c>
      <c r="C27" s="20">
        <f>'伤害统计(理想)'!C27</f>
        <v>34400</v>
      </c>
      <c r="D27" s="20">
        <f>'伤害统计(理想)'!D27</f>
        <v>0</v>
      </c>
      <c r="E27" s="20">
        <f>'伤害统计(理想)'!E27</f>
        <v>1</v>
      </c>
      <c r="F27" s="20">
        <f>'伤害统计(理想)'!F27</f>
        <v>1</v>
      </c>
      <c r="G27" s="20">
        <f>'伤害统计(理想)'!G27</f>
        <v>0</v>
      </c>
      <c r="H27" s="20">
        <f>'伤害统计(理想)'!H27</f>
        <v>0</v>
      </c>
      <c r="I27" s="20">
        <f>'伤害统计(理想)'!I27</f>
        <v>0.05</v>
      </c>
      <c r="J27" s="20">
        <f>'伤害统计(理想)'!J27</f>
        <v>0.472</v>
      </c>
      <c r="K27" s="20">
        <f>'伤害统计(理想)'!K27</f>
        <v>0.1181</v>
      </c>
      <c r="L27" s="20">
        <f>'伤害统计(理想)'!L27</f>
        <v>0.177214436704937</v>
      </c>
      <c r="M27" s="8">
        <f>M2</f>
        <v>0.349753</v>
      </c>
      <c r="N27" s="20">
        <f>'伤害统计(理想)'!N27</f>
        <v>0.2</v>
      </c>
      <c r="O27" s="20">
        <f>'伤害统计(理想)'!O27</f>
        <v>1</v>
      </c>
      <c r="P27" s="20">
        <f>'伤害统计(理想)'!P27</f>
        <v>0</v>
      </c>
      <c r="Q27" s="20">
        <f>'伤害统计(理想)'!Q27</f>
        <v>1</v>
      </c>
      <c r="R27" s="20">
        <f>'伤害统计(理想)'!R27</f>
        <v>0.2441</v>
      </c>
      <c r="S27" s="20">
        <f>'伤害统计(理想)'!S27</f>
        <v>1</v>
      </c>
      <c r="T27" s="20">
        <f>'伤害统计(理想)'!T27</f>
        <v>2.0895</v>
      </c>
      <c r="U27" s="20">
        <f>'伤害统计(理想)'!U27</f>
        <v>0</v>
      </c>
      <c r="V27" s="20">
        <f>'伤害统计(理想)'!V27</f>
        <v>2.0895</v>
      </c>
      <c r="W27" s="20">
        <f>'伤害统计(理想)'!W27</f>
        <v>0.2441</v>
      </c>
      <c r="X27" s="20">
        <f>'伤害统计(理想)'!X27</f>
        <v>2.3336</v>
      </c>
      <c r="Y27" s="20">
        <f>'伤害统计(理想)'!Y27</f>
        <v>0.2441</v>
      </c>
      <c r="Z27" s="20">
        <f>'伤害统计(理想)'!Z27</f>
        <v>2.3336</v>
      </c>
      <c r="AA27" s="20">
        <f>'伤害统计(理想)'!AA27</f>
        <v>0.1953</v>
      </c>
      <c r="AB27" s="20">
        <f>'伤害统计(理想)'!AB27</f>
        <v>2.5289</v>
      </c>
      <c r="AC27" s="20">
        <f t="shared" si="0"/>
        <v>780240</v>
      </c>
      <c r="AD27" s="20">
        <f t="shared" si="1"/>
        <v>803859</v>
      </c>
      <c r="AE27" s="20">
        <f t="shared" si="2"/>
        <v>868353</v>
      </c>
      <c r="AF27" s="20">
        <f t="shared" si="3"/>
        <v>1630311</v>
      </c>
      <c r="AG27" s="20">
        <f t="shared" si="4"/>
        <v>1875885</v>
      </c>
      <c r="AH27" s="20">
        <f t="shared" si="12"/>
        <v>2200059</v>
      </c>
      <c r="AI27" s="20">
        <f t="shared" si="5"/>
        <v>792049</v>
      </c>
      <c r="AJ27" s="20">
        <f t="shared" si="6"/>
        <v>1848325</v>
      </c>
      <c r="AK27" s="20">
        <f t="shared" si="7"/>
        <v>855596</v>
      </c>
      <c r="AL27" s="20">
        <f t="shared" si="8"/>
        <v>1996618</v>
      </c>
      <c r="AM27" s="20">
        <f t="shared" si="9"/>
        <v>2032879</v>
      </c>
      <c r="AN27" s="20">
        <f t="shared" si="10"/>
        <v>2195977</v>
      </c>
    </row>
    <row r="28" spans="1:40">
      <c r="A28" s="20" t="str">
        <f>'伤害统计(理想)'!A28</f>
        <v>腾空·凭虚·定</v>
      </c>
      <c r="B28" s="20">
        <f>'伤害统计(理想)'!B28</f>
        <v>141299</v>
      </c>
      <c r="C28" s="20">
        <f>'伤害统计(理想)'!C28</f>
        <v>34400</v>
      </c>
      <c r="D28" s="20">
        <f>'伤害统计(理想)'!D28</f>
        <v>0</v>
      </c>
      <c r="E28" s="20">
        <f>'伤害统计(理想)'!E28</f>
        <v>1</v>
      </c>
      <c r="F28" s="20">
        <f>'伤害统计(理想)'!F28</f>
        <v>1</v>
      </c>
      <c r="G28" s="20">
        <f>'伤害统计(理想)'!G28</f>
        <v>0</v>
      </c>
      <c r="H28" s="20">
        <f>'伤害统计(理想)'!H28</f>
        <v>0</v>
      </c>
      <c r="I28" s="20">
        <f>'伤害统计(理想)'!I28</f>
        <v>0.05</v>
      </c>
      <c r="J28" s="20">
        <f>'伤害统计(理想)'!J28</f>
        <v>0.472</v>
      </c>
      <c r="K28" s="20">
        <f>'伤害统计(理想)'!K28</f>
        <v>0.1181</v>
      </c>
      <c r="L28" s="20">
        <f>'伤害统计(理想)'!L28</f>
        <v>0.177214436704937</v>
      </c>
      <c r="M28" s="8">
        <f>M2</f>
        <v>0.349753</v>
      </c>
      <c r="N28" s="20">
        <f>'伤害统计(理想)'!N28</f>
        <v>0.2</v>
      </c>
      <c r="O28" s="20">
        <f>'伤害统计(理想)'!O28</f>
        <v>0.4994</v>
      </c>
      <c r="P28" s="20">
        <f>'伤害统计(理想)'!P28</f>
        <v>0</v>
      </c>
      <c r="Q28" s="20">
        <f>'伤害统计(理想)'!Q28</f>
        <v>0.4994</v>
      </c>
      <c r="R28" s="20">
        <f>'伤害统计(理想)'!R28</f>
        <v>0.2441</v>
      </c>
      <c r="S28" s="20">
        <f>'伤害统计(理想)'!S28</f>
        <v>0.7435</v>
      </c>
      <c r="T28" s="20">
        <f>'伤害统计(理想)'!T28</f>
        <v>2.0895</v>
      </c>
      <c r="U28" s="20">
        <f>'伤害统计(理想)'!U28</f>
        <v>0</v>
      </c>
      <c r="V28" s="20">
        <f>'伤害统计(理想)'!V28</f>
        <v>2.0895</v>
      </c>
      <c r="W28" s="20">
        <f>'伤害统计(理想)'!W28</f>
        <v>0.2441</v>
      </c>
      <c r="X28" s="20">
        <f>'伤害统计(理想)'!X28</f>
        <v>2.3336</v>
      </c>
      <c r="Y28" s="20">
        <f>'伤害统计(理想)'!Y28</f>
        <v>0.2441</v>
      </c>
      <c r="Z28" s="20">
        <f>'伤害统计(理想)'!Z28</f>
        <v>2.3336</v>
      </c>
      <c r="AA28" s="20">
        <f>'伤害统计(理想)'!AA28</f>
        <v>0.1953</v>
      </c>
      <c r="AB28" s="20">
        <f>'伤害统计(理想)'!AB28</f>
        <v>2.5289</v>
      </c>
      <c r="AC28" s="20">
        <f t="shared" si="0"/>
        <v>194029</v>
      </c>
      <c r="AD28" s="20">
        <f t="shared" si="1"/>
        <v>217647</v>
      </c>
      <c r="AE28" s="20">
        <f t="shared" si="2"/>
        <v>235110</v>
      </c>
      <c r="AF28" s="20">
        <f t="shared" si="3"/>
        <v>405423</v>
      </c>
      <c r="AG28" s="20">
        <f t="shared" si="4"/>
        <v>507901</v>
      </c>
      <c r="AH28" s="20">
        <f t="shared" si="12"/>
        <v>595674</v>
      </c>
      <c r="AI28" s="20">
        <f t="shared" si="5"/>
        <v>205838</v>
      </c>
      <c r="AJ28" s="20">
        <f t="shared" si="6"/>
        <v>480343</v>
      </c>
      <c r="AK28" s="20">
        <f t="shared" si="7"/>
        <v>222353</v>
      </c>
      <c r="AL28" s="20">
        <f t="shared" si="8"/>
        <v>518882</v>
      </c>
      <c r="AM28" s="20">
        <f t="shared" si="9"/>
        <v>550407</v>
      </c>
      <c r="AN28" s="20">
        <f t="shared" si="10"/>
        <v>594569</v>
      </c>
    </row>
    <row r="29" spans="1:40">
      <c r="A29" s="20" t="str">
        <f>'伤害统计(理想)'!A29</f>
        <v>气竭(DOT)</v>
      </c>
      <c r="B29" s="20">
        <f>'伤害统计(理想)'!B29</f>
        <v>50</v>
      </c>
      <c r="C29" s="20">
        <f>'伤害统计(理想)'!C29</f>
        <v>34400</v>
      </c>
      <c r="D29" s="20">
        <f>'伤害统计(理想)'!D29</f>
        <v>45792</v>
      </c>
      <c r="E29" s="20">
        <f>'伤害统计(理想)'!E29</f>
        <v>0.5078125</v>
      </c>
      <c r="F29" s="20">
        <f>'伤害统计(理想)'!F29</f>
        <v>1</v>
      </c>
      <c r="G29" s="20">
        <f>'伤害统计(理想)'!G29</f>
        <v>0</v>
      </c>
      <c r="H29" s="20">
        <f>'伤害统计(理想)'!H29</f>
        <v>0</v>
      </c>
      <c r="I29" s="20">
        <f>'伤害统计(理想)'!I29</f>
        <v>0.05</v>
      </c>
      <c r="J29" s="20">
        <f>'伤害统计(理想)'!J29</f>
        <v>0.472</v>
      </c>
      <c r="K29" s="20">
        <f>'伤害统计(理想)'!K29</f>
        <v>0.1181</v>
      </c>
      <c r="L29" s="20">
        <f>'伤害统计(理想)'!L29</f>
        <v>0.177214436704937</v>
      </c>
      <c r="M29" s="8">
        <f>M2</f>
        <v>0.349753</v>
      </c>
      <c r="N29" s="20">
        <f>'伤害统计(理想)'!N29</f>
        <v>0.2</v>
      </c>
      <c r="O29" s="20">
        <f>'伤害统计(理想)'!O29</f>
        <v>0.4994</v>
      </c>
      <c r="P29" s="20">
        <f>'伤害统计(理想)'!P29</f>
        <v>0</v>
      </c>
      <c r="Q29" s="20">
        <f>'伤害统计(理想)'!Q29</f>
        <v>0.4994</v>
      </c>
      <c r="R29" s="20">
        <f>'伤害统计(理想)'!R29</f>
        <v>0.2441</v>
      </c>
      <c r="S29" s="20">
        <f>'伤害统计(理想)'!S29</f>
        <v>0.7435</v>
      </c>
      <c r="T29" s="20">
        <f>'伤害统计(理想)'!T29</f>
        <v>2.0895</v>
      </c>
      <c r="U29" s="20">
        <f>'伤害统计(理想)'!U29</f>
        <v>0</v>
      </c>
      <c r="V29" s="20">
        <f>'伤害统计(理想)'!V29</f>
        <v>2.0895</v>
      </c>
      <c r="W29" s="20">
        <f>'伤害统计(理想)'!W29</f>
        <v>0.2441</v>
      </c>
      <c r="X29" s="20">
        <f>'伤害统计(理想)'!X29</f>
        <v>2.3336</v>
      </c>
      <c r="Y29" s="20">
        <f>'伤害统计(理想)'!Y29</f>
        <v>0.2441</v>
      </c>
      <c r="Z29" s="20">
        <f>'伤害统计(理想)'!Z29</f>
        <v>2.3336</v>
      </c>
      <c r="AA29" s="20">
        <f>'伤害统计(理想)'!AA29</f>
        <v>0.1953</v>
      </c>
      <c r="AB29" s="20">
        <f>'伤害统计(理想)'!AB29</f>
        <v>2.5289</v>
      </c>
      <c r="AC29" s="20">
        <f t="shared" si="0"/>
        <v>31999</v>
      </c>
      <c r="AD29" s="20">
        <f t="shared" si="1"/>
        <v>43994</v>
      </c>
      <c r="AE29" s="20">
        <f t="shared" si="2"/>
        <v>47523</v>
      </c>
      <c r="AF29" s="20">
        <f t="shared" si="3"/>
        <v>66861</v>
      </c>
      <c r="AG29" s="20">
        <f t="shared" si="4"/>
        <v>102664</v>
      </c>
      <c r="AH29" s="20">
        <f t="shared" si="12"/>
        <v>120404</v>
      </c>
      <c r="AI29" s="20">
        <f t="shared" si="5"/>
        <v>37997</v>
      </c>
      <c r="AJ29" s="20">
        <f t="shared" si="6"/>
        <v>88669</v>
      </c>
      <c r="AK29" s="20">
        <f t="shared" si="7"/>
        <v>41045</v>
      </c>
      <c r="AL29" s="20">
        <f t="shared" si="8"/>
        <v>95782</v>
      </c>
      <c r="AM29" s="20">
        <f t="shared" si="9"/>
        <v>111256</v>
      </c>
      <c r="AN29" s="20">
        <f t="shared" si="10"/>
        <v>120180</v>
      </c>
    </row>
    <row r="30" spans="1:40">
      <c r="A30" s="20" t="str">
        <f>'伤害统计(理想)'!A30</f>
        <v>星辰</v>
      </c>
      <c r="B30" s="20">
        <f>'伤害统计(理想)'!B30</f>
        <v>1038</v>
      </c>
      <c r="C30" s="20">
        <f>'伤害统计(理想)'!C30</f>
        <v>34400</v>
      </c>
      <c r="D30" s="20">
        <f>'伤害统计(理想)'!D30</f>
        <v>45792</v>
      </c>
      <c r="E30" s="20">
        <f>'伤害统计(理想)'!E30</f>
        <v>0.99609375</v>
      </c>
      <c r="F30" s="20">
        <f>'伤害统计(理想)'!F30</f>
        <v>1</v>
      </c>
      <c r="G30" s="20">
        <f>'伤害统计(理想)'!G30</f>
        <v>0</v>
      </c>
      <c r="H30" s="20">
        <f>'伤害统计(理想)'!H30</f>
        <v>0</v>
      </c>
      <c r="I30" s="20">
        <f>'伤害统计(理想)'!I30</f>
        <v>0.05</v>
      </c>
      <c r="J30" s="20">
        <f>'伤害统计(理想)'!J30</f>
        <v>0.472</v>
      </c>
      <c r="K30" s="20">
        <f>'伤害统计(理想)'!K30</f>
        <v>0.1181</v>
      </c>
      <c r="L30" s="20">
        <f>'伤害统计(理想)'!L30</f>
        <v>0.177214436704937</v>
      </c>
      <c r="M30" s="8">
        <f>M2</f>
        <v>0.349753</v>
      </c>
      <c r="N30" s="20">
        <f>'伤害统计(理想)'!N30</f>
        <v>0.2</v>
      </c>
      <c r="O30" s="20">
        <f>'伤害统计(理想)'!O30</f>
        <v>0.4994</v>
      </c>
      <c r="P30" s="20">
        <f>'伤害统计(理想)'!P30</f>
        <v>0</v>
      </c>
      <c r="Q30" s="20">
        <f>'伤害统计(理想)'!Q30</f>
        <v>0.4994</v>
      </c>
      <c r="R30" s="20">
        <f>'伤害统计(理想)'!R30</f>
        <v>0.2441</v>
      </c>
      <c r="S30" s="20">
        <f>'伤害统计(理想)'!S30</f>
        <v>0.7435</v>
      </c>
      <c r="T30" s="20">
        <f>'伤害统计(理想)'!T30</f>
        <v>2.0895</v>
      </c>
      <c r="U30" s="20">
        <f>'伤害统计(理想)'!U30</f>
        <v>0</v>
      </c>
      <c r="V30" s="20">
        <f>'伤害统计(理想)'!V30</f>
        <v>2.0895</v>
      </c>
      <c r="W30" s="20">
        <f>'伤害统计(理想)'!W30</f>
        <v>0.2441</v>
      </c>
      <c r="X30" s="20">
        <f>'伤害统计(理想)'!X30</f>
        <v>2.3336</v>
      </c>
      <c r="Y30" s="20">
        <f>'伤害统计(理想)'!Y30</f>
        <v>0.2441</v>
      </c>
      <c r="Z30" s="20">
        <f>'伤害统计(理想)'!Z30</f>
        <v>2.3336</v>
      </c>
      <c r="AA30" s="20">
        <f>'伤害统计(理想)'!AA30</f>
        <v>0.1953</v>
      </c>
      <c r="AB30" s="20">
        <f>'伤害统计(理想)'!AB30</f>
        <v>2.5289</v>
      </c>
      <c r="AC30" s="20">
        <f t="shared" si="0"/>
        <v>64060</v>
      </c>
      <c r="AD30" s="20">
        <f t="shared" si="1"/>
        <v>87586</v>
      </c>
      <c r="AE30" s="20">
        <f t="shared" si="2"/>
        <v>94614</v>
      </c>
      <c r="AF30" s="20">
        <f t="shared" si="3"/>
        <v>133853</v>
      </c>
      <c r="AG30" s="20">
        <f t="shared" si="4"/>
        <v>204390</v>
      </c>
      <c r="AH30" s="20">
        <f t="shared" si="12"/>
        <v>239714</v>
      </c>
      <c r="AI30" s="20">
        <f t="shared" si="5"/>
        <v>75823</v>
      </c>
      <c r="AJ30" s="20">
        <f t="shared" si="6"/>
        <v>176940</v>
      </c>
      <c r="AK30" s="20">
        <f t="shared" si="7"/>
        <v>81907</v>
      </c>
      <c r="AL30" s="20">
        <f t="shared" si="8"/>
        <v>191138</v>
      </c>
      <c r="AM30" s="20">
        <f t="shared" si="9"/>
        <v>221496</v>
      </c>
      <c r="AN30" s="20">
        <f t="shared" si="10"/>
        <v>239269</v>
      </c>
    </row>
    <row r="31" spans="1:40">
      <c r="A31" s="20" t="str">
        <f>'伤害统计(理想)'!A31</f>
        <v>四象轮回·神兵</v>
      </c>
      <c r="B31" s="20">
        <f>'伤害统计(理想)'!B31</f>
        <v>21</v>
      </c>
      <c r="C31" s="20">
        <f>'伤害统计(理想)'!C31</f>
        <v>34400</v>
      </c>
      <c r="D31" s="20">
        <f>'伤害统计(理想)'!D31</f>
        <v>45792</v>
      </c>
      <c r="E31" s="20">
        <f>'伤害统计(理想)'!E31</f>
        <v>0.338541666666667</v>
      </c>
      <c r="F31" s="20">
        <f>'伤害统计(理想)'!F31</f>
        <v>1</v>
      </c>
      <c r="G31" s="20">
        <f>'伤害统计(理想)'!G31</f>
        <v>0</v>
      </c>
      <c r="H31" s="20">
        <f>'伤害统计(理想)'!H31</f>
        <v>0</v>
      </c>
      <c r="I31" s="20">
        <f>'伤害统计(理想)'!I31</f>
        <v>0.05</v>
      </c>
      <c r="J31" s="20">
        <f>'伤害统计(理想)'!J31</f>
        <v>0.472</v>
      </c>
      <c r="K31" s="20">
        <f>'伤害统计(理想)'!K31</f>
        <v>0.1181</v>
      </c>
      <c r="L31" s="20">
        <f>'伤害统计(理想)'!L31</f>
        <v>0.177214436704937</v>
      </c>
      <c r="M31" s="8">
        <f>M2</f>
        <v>0.349753</v>
      </c>
      <c r="N31" s="20">
        <f>'伤害统计(理想)'!N31</f>
        <v>0.2</v>
      </c>
      <c r="O31" s="20">
        <f>'伤害统计(理想)'!O31</f>
        <v>0.4994</v>
      </c>
      <c r="P31" s="20">
        <f>'伤害统计(理想)'!P31</f>
        <v>0</v>
      </c>
      <c r="Q31" s="20">
        <f>'伤害统计(理想)'!Q31</f>
        <v>0.4994</v>
      </c>
      <c r="R31" s="20">
        <f>'伤害统计(理想)'!R31</f>
        <v>0.2441</v>
      </c>
      <c r="S31" s="20">
        <f>'伤害统计(理想)'!S31</f>
        <v>0.7435</v>
      </c>
      <c r="T31" s="20">
        <f>'伤害统计(理想)'!T31</f>
        <v>2.0895</v>
      </c>
      <c r="U31" s="20">
        <f>'伤害统计(理想)'!U31</f>
        <v>0</v>
      </c>
      <c r="V31" s="20">
        <f>'伤害统计(理想)'!V31</f>
        <v>2.0895</v>
      </c>
      <c r="W31" s="20">
        <f>'伤害统计(理想)'!W31</f>
        <v>0.2441</v>
      </c>
      <c r="X31" s="20">
        <f>'伤害统计(理想)'!X31</f>
        <v>2.3336</v>
      </c>
      <c r="Y31" s="20">
        <f>'伤害统计(理想)'!Y31</f>
        <v>0.2441</v>
      </c>
      <c r="Z31" s="20">
        <f>'伤害统计(理想)'!Z31</f>
        <v>2.3336</v>
      </c>
      <c r="AA31" s="20">
        <f>'伤害统计(理想)'!AA31</f>
        <v>0.1953</v>
      </c>
      <c r="AB31" s="20">
        <f>'伤害统计(理想)'!AB31</f>
        <v>2.5289</v>
      </c>
      <c r="AC31" s="20">
        <f t="shared" si="0"/>
        <v>21315</v>
      </c>
      <c r="AD31" s="20">
        <f t="shared" si="1"/>
        <v>29312</v>
      </c>
      <c r="AE31" s="20">
        <f t="shared" si="2"/>
        <v>31664</v>
      </c>
      <c r="AF31" s="20">
        <f t="shared" si="3"/>
        <v>44537</v>
      </c>
      <c r="AG31" s="20">
        <f t="shared" si="4"/>
        <v>68402</v>
      </c>
      <c r="AH31" s="20">
        <f t="shared" si="12"/>
        <v>80223</v>
      </c>
      <c r="AI31" s="20">
        <f t="shared" si="5"/>
        <v>25314</v>
      </c>
      <c r="AJ31" s="20">
        <f t="shared" si="6"/>
        <v>59072</v>
      </c>
      <c r="AK31" s="20">
        <f t="shared" si="7"/>
        <v>27345</v>
      </c>
      <c r="AL31" s="20">
        <f t="shared" si="8"/>
        <v>63812</v>
      </c>
      <c r="AM31" s="20">
        <f t="shared" si="9"/>
        <v>74127</v>
      </c>
      <c r="AN31" s="20">
        <f t="shared" si="10"/>
        <v>80075</v>
      </c>
    </row>
    <row r="32" spans="1:40">
      <c r="A32" s="20" t="str">
        <f>'伤害统计(理想)'!A32</f>
        <v>太极无极(若冲)</v>
      </c>
      <c r="B32" s="20">
        <f>'伤害统计(理想)'!B32</f>
        <v>53</v>
      </c>
      <c r="C32" s="20">
        <f>'伤害统计(理想)'!C32</f>
        <v>99</v>
      </c>
      <c r="D32" s="20">
        <f>'伤害统计(理想)'!D32</f>
        <v>45792</v>
      </c>
      <c r="E32" s="20">
        <f>'伤害统计(理想)'!E32</f>
        <v>0.5</v>
      </c>
      <c r="F32" s="20">
        <f>'伤害统计(理想)'!F32</f>
        <v>1</v>
      </c>
      <c r="G32" s="20">
        <f>'伤害统计(理想)'!G32</f>
        <v>0.5</v>
      </c>
      <c r="H32" s="20">
        <f>'伤害统计(理想)'!H32</f>
        <v>0.3</v>
      </c>
      <c r="I32" s="20">
        <f>'伤害统计(理想)'!I32</f>
        <v>0.05</v>
      </c>
      <c r="J32" s="20">
        <f>'伤害统计(理想)'!J32</f>
        <v>0.472</v>
      </c>
      <c r="K32" s="20">
        <f>'伤害统计(理想)'!K32</f>
        <v>0.1181</v>
      </c>
      <c r="L32" s="20">
        <f>'伤害统计(理想)'!L32</f>
        <v>0.177214436704937</v>
      </c>
      <c r="M32" s="8">
        <f>M2</f>
        <v>0.349753</v>
      </c>
      <c r="N32" s="20">
        <f>'伤害统计(理想)'!N32</f>
        <v>0.2</v>
      </c>
      <c r="O32" s="20">
        <f>'伤害统计(理想)'!O32</f>
        <v>0.4994</v>
      </c>
      <c r="P32" s="20">
        <f>'伤害统计(理想)'!P32</f>
        <v>0</v>
      </c>
      <c r="Q32" s="20">
        <f>'伤害统计(理想)'!Q32</f>
        <v>0.4994</v>
      </c>
      <c r="R32" s="20">
        <f>'伤害统计(理想)'!R32</f>
        <v>0.2441</v>
      </c>
      <c r="S32" s="20">
        <f>'伤害统计(理想)'!S32</f>
        <v>0.7435</v>
      </c>
      <c r="T32" s="20">
        <f>'伤害统计(理想)'!T32</f>
        <v>2.0895</v>
      </c>
      <c r="U32" s="20">
        <f>'伤害统计(理想)'!U32</f>
        <v>0</v>
      </c>
      <c r="V32" s="20">
        <f>'伤害统计(理想)'!V32</f>
        <v>2.0895</v>
      </c>
      <c r="W32" s="20">
        <f>'伤害统计(理想)'!W32</f>
        <v>0.2441</v>
      </c>
      <c r="X32" s="20">
        <f>'伤害统计(理想)'!X32</f>
        <v>2.3336</v>
      </c>
      <c r="Y32" s="20">
        <f>'伤害统计(理想)'!Y32</f>
        <v>0.2441</v>
      </c>
      <c r="Z32" s="20">
        <f>'伤害统计(理想)'!Z32</f>
        <v>2.3336</v>
      </c>
      <c r="AA32" s="20">
        <f>'伤害统计(理想)'!AA32</f>
        <v>0.1953</v>
      </c>
      <c r="AB32" s="20">
        <f>'伤害统计(理想)'!AB32</f>
        <v>2.5289</v>
      </c>
      <c r="AC32" s="20">
        <f t="shared" si="0"/>
        <v>56723</v>
      </c>
      <c r="AD32" s="20">
        <f t="shared" si="1"/>
        <v>56784</v>
      </c>
      <c r="AE32" s="20">
        <f t="shared" si="2"/>
        <v>61340</v>
      </c>
      <c r="AF32" s="20">
        <f t="shared" si="3"/>
        <v>118522</v>
      </c>
      <c r="AG32" s="20">
        <f t="shared" si="4"/>
        <v>132511</v>
      </c>
      <c r="AH32" s="20">
        <f t="shared" si="12"/>
        <v>155411</v>
      </c>
      <c r="AI32" s="20">
        <f t="shared" si="5"/>
        <v>56754</v>
      </c>
      <c r="AJ32" s="20">
        <f t="shared" si="6"/>
        <v>132441</v>
      </c>
      <c r="AK32" s="20">
        <f t="shared" si="7"/>
        <v>61307</v>
      </c>
      <c r="AL32" s="20">
        <f t="shared" si="8"/>
        <v>143066</v>
      </c>
      <c r="AM32" s="20">
        <f t="shared" si="9"/>
        <v>143601</v>
      </c>
      <c r="AN32" s="20">
        <f t="shared" si="10"/>
        <v>155122</v>
      </c>
    </row>
    <row r="33" spans="1:29">
      <c r="A33" s="20">
        <f>'伤害统计(理想)'!A33</f>
        <v>0</v>
      </c>
      <c r="B33" s="20">
        <f>'伤害统计(理想)'!B33</f>
        <v>0</v>
      </c>
      <c r="C33" s="20">
        <f>'伤害统计(理想)'!C33</f>
        <v>0</v>
      </c>
      <c r="D33" s="20">
        <f>'伤害统计(理想)'!D33</f>
        <v>0</v>
      </c>
      <c r="E33" s="20">
        <f>'伤害统计(理想)'!E33</f>
        <v>0</v>
      </c>
      <c r="F33" s="20">
        <f>'伤害统计(理想)'!F33</f>
        <v>0</v>
      </c>
      <c r="G33" s="20">
        <f>'伤害统计(理想)'!G33</f>
        <v>0</v>
      </c>
      <c r="H33" s="20">
        <f>'伤害统计(理想)'!H33</f>
        <v>0</v>
      </c>
      <c r="I33" s="20">
        <f>'伤害统计(理想)'!I33</f>
        <v>0</v>
      </c>
      <c r="J33" s="20">
        <f>'伤害统计(理想)'!J33</f>
        <v>0</v>
      </c>
      <c r="K33" s="20">
        <f>'伤害统计(理想)'!K33</f>
        <v>0</v>
      </c>
      <c r="L33" s="20">
        <f>'伤害统计(理想)'!L33</f>
        <v>0</v>
      </c>
      <c r="M33" s="20">
        <f>'伤害统计(理想)'!M33</f>
        <v>0</v>
      </c>
      <c r="N33" s="20">
        <f>'伤害统计(理想)'!N33</f>
        <v>0</v>
      </c>
      <c r="O33" s="20">
        <f>'伤害统计(理想)'!O33</f>
        <v>0</v>
      </c>
      <c r="P33" s="20">
        <f>'伤害统计(理想)'!P33</f>
        <v>0</v>
      </c>
      <c r="Q33" s="20">
        <f>'伤害统计(理想)'!Q33</f>
        <v>0</v>
      </c>
      <c r="R33" s="20">
        <f>'伤害统计(理想)'!R33</f>
        <v>0</v>
      </c>
      <c r="S33" s="20">
        <f>'伤害统计(理想)'!S33</f>
        <v>0</v>
      </c>
      <c r="T33" s="20">
        <f>'伤害统计(理想)'!T33</f>
        <v>0</v>
      </c>
      <c r="U33" s="20">
        <f>'伤害统计(理想)'!U33</f>
        <v>0</v>
      </c>
      <c r="V33" s="20">
        <f>'伤害统计(理想)'!V33</f>
        <v>0</v>
      </c>
      <c r="W33" s="20">
        <f>'伤害统计(理想)'!W33</f>
        <v>0</v>
      </c>
      <c r="X33" s="20">
        <f>'伤害统计(理想)'!X33</f>
        <v>0</v>
      </c>
      <c r="Y33" s="20">
        <f>'伤害统计(理想)'!Y33</f>
        <v>0</v>
      </c>
      <c r="Z33" s="20">
        <f>'伤害统计(理想)'!Z33</f>
        <v>0</v>
      </c>
      <c r="AA33" s="20">
        <f>'伤害统计(理想)'!AA33</f>
        <v>0</v>
      </c>
      <c r="AB33" s="20">
        <f>'伤害统计(理想)'!AB33</f>
        <v>0</v>
      </c>
      <c r="AC33" s="29"/>
    </row>
    <row r="34" spans="1:29">
      <c r="A34" s="20">
        <f>'伤害统计(理想)'!A34</f>
        <v>0</v>
      </c>
      <c r="B34" s="20">
        <f>'伤害统计(理想)'!B34</f>
        <v>0</v>
      </c>
      <c r="C34" s="20">
        <f>'伤害统计(理想)'!C34</f>
        <v>0</v>
      </c>
      <c r="D34" s="20">
        <f>'伤害统计(理想)'!D34</f>
        <v>0</v>
      </c>
      <c r="E34" s="20">
        <f>'伤害统计(理想)'!E34</f>
        <v>0</v>
      </c>
      <c r="F34" s="20">
        <f>'伤害统计(理想)'!F34</f>
        <v>0</v>
      </c>
      <c r="G34" s="20">
        <f>'伤害统计(理想)'!G34</f>
        <v>0</v>
      </c>
      <c r="H34" s="20">
        <f>'伤害统计(理想)'!H34</f>
        <v>0</v>
      </c>
      <c r="I34" s="20">
        <f>'伤害统计(理想)'!I34</f>
        <v>0</v>
      </c>
      <c r="J34" s="20">
        <f>'伤害统计(理想)'!J34</f>
        <v>0</v>
      </c>
      <c r="K34" s="20">
        <f>'伤害统计(理想)'!K34</f>
        <v>0</v>
      </c>
      <c r="L34" s="20">
        <f>'伤害统计(理想)'!L34</f>
        <v>0</v>
      </c>
      <c r="M34" s="20">
        <f>'伤害统计(理想)'!M34</f>
        <v>0</v>
      </c>
      <c r="N34" s="20">
        <f>'伤害统计(理想)'!N34</f>
        <v>0</v>
      </c>
      <c r="O34" s="20">
        <f>'伤害统计(理想)'!O34</f>
        <v>0</v>
      </c>
      <c r="P34" s="20">
        <f>'伤害统计(理想)'!P34</f>
        <v>0</v>
      </c>
      <c r="Q34" s="20">
        <f>'伤害统计(理想)'!Q34</f>
        <v>0</v>
      </c>
      <c r="R34" s="20">
        <f>'伤害统计(理想)'!R34</f>
        <v>0</v>
      </c>
      <c r="S34" s="20">
        <f>'伤害统计(理想)'!S34</f>
        <v>0</v>
      </c>
      <c r="T34" s="20">
        <f>'伤害统计(理想)'!T34</f>
        <v>0</v>
      </c>
      <c r="U34" s="20">
        <f>'伤害统计(理想)'!U34</f>
        <v>0</v>
      </c>
      <c r="V34" s="20">
        <f>'伤害统计(理想)'!V34</f>
        <v>0</v>
      </c>
      <c r="W34" s="20">
        <f>'伤害统计(理想)'!W34</f>
        <v>0</v>
      </c>
      <c r="X34" s="20">
        <f>'伤害统计(理想)'!X34</f>
        <v>0</v>
      </c>
      <c r="Y34" s="20">
        <f>'伤害统计(理想)'!Y34</f>
        <v>0</v>
      </c>
      <c r="Z34" s="20">
        <f>'伤害统计(理想)'!Z34</f>
        <v>0</v>
      </c>
      <c r="AA34" s="20">
        <f>'伤害统计(理想)'!AA34</f>
        <v>0</v>
      </c>
      <c r="AB34" s="20">
        <f>'伤害统计(理想)'!AB34</f>
        <v>0</v>
      </c>
      <c r="AC34" s="29"/>
    </row>
    <row r="35" spans="1:29">
      <c r="A35" s="20">
        <f>'伤害统计(理想)'!A35</f>
        <v>0</v>
      </c>
      <c r="B35" s="20">
        <f>'伤害统计(理想)'!B35</f>
        <v>0</v>
      </c>
      <c r="C35" s="20">
        <f>'伤害统计(理想)'!C35</f>
        <v>0</v>
      </c>
      <c r="D35" s="20">
        <f>'伤害统计(理想)'!D35</f>
        <v>0</v>
      </c>
      <c r="E35" s="20">
        <f>'伤害统计(理想)'!E35</f>
        <v>0</v>
      </c>
      <c r="F35" s="20">
        <f>'伤害统计(理想)'!F35</f>
        <v>0</v>
      </c>
      <c r="G35" s="20">
        <f>'伤害统计(理想)'!G35</f>
        <v>0</v>
      </c>
      <c r="H35" s="20">
        <f>'伤害统计(理想)'!H35</f>
        <v>0</v>
      </c>
      <c r="I35" s="20">
        <f>'伤害统计(理想)'!I35</f>
        <v>0</v>
      </c>
      <c r="J35" s="20">
        <f>'伤害统计(理想)'!J35</f>
        <v>0</v>
      </c>
      <c r="K35" s="20">
        <f>'伤害统计(理想)'!K35</f>
        <v>0</v>
      </c>
      <c r="L35" s="20">
        <f>'伤害统计(理想)'!L35</f>
        <v>0</v>
      </c>
      <c r="M35" s="20">
        <f>'伤害统计(理想)'!M35</f>
        <v>0</v>
      </c>
      <c r="N35" s="20">
        <f>'伤害统计(理想)'!N35</f>
        <v>0</v>
      </c>
      <c r="O35" s="20">
        <f>'伤害统计(理想)'!O35</f>
        <v>0</v>
      </c>
      <c r="P35" s="20">
        <f>'伤害统计(理想)'!P35</f>
        <v>0</v>
      </c>
      <c r="Q35" s="20">
        <f>'伤害统计(理想)'!Q35</f>
        <v>0</v>
      </c>
      <c r="R35" s="20">
        <f>'伤害统计(理想)'!R35</f>
        <v>0</v>
      </c>
      <c r="S35" s="20">
        <f>'伤害统计(理想)'!S35</f>
        <v>0</v>
      </c>
      <c r="T35" s="20">
        <f>'伤害统计(理想)'!T35</f>
        <v>0</v>
      </c>
      <c r="U35" s="20">
        <f>'伤害统计(理想)'!U35</f>
        <v>0</v>
      </c>
      <c r="V35" s="20">
        <f>'伤害统计(理想)'!V35</f>
        <v>0</v>
      </c>
      <c r="W35" s="20">
        <f>'伤害统计(理想)'!W35</f>
        <v>0</v>
      </c>
      <c r="X35" s="20">
        <f>'伤害统计(理想)'!X35</f>
        <v>0</v>
      </c>
      <c r="Y35" s="20">
        <f>'伤害统计(理想)'!Y35</f>
        <v>0</v>
      </c>
      <c r="Z35" s="20">
        <f>'伤害统计(理想)'!Z35</f>
        <v>0</v>
      </c>
      <c r="AA35" s="20">
        <f>'伤害统计(理想)'!AA35</f>
        <v>0</v>
      </c>
      <c r="AB35" s="20">
        <f>'伤害统计(理想)'!AB35</f>
        <v>0</v>
      </c>
      <c r="AC35" s="29"/>
    </row>
    <row r="36" spans="1:29">
      <c r="A36" s="20">
        <f>'伤害统计(理想)'!A36</f>
        <v>0</v>
      </c>
      <c r="B36" s="20">
        <f>'伤害统计(理想)'!B36</f>
        <v>0</v>
      </c>
      <c r="C36" s="20">
        <f>'伤害统计(理想)'!C36</f>
        <v>0</v>
      </c>
      <c r="D36" s="20">
        <f>'伤害统计(理想)'!D36</f>
        <v>0</v>
      </c>
      <c r="E36" s="20">
        <f>'伤害统计(理想)'!E36</f>
        <v>0</v>
      </c>
      <c r="F36" s="20">
        <f>'伤害统计(理想)'!F36</f>
        <v>0</v>
      </c>
      <c r="G36" s="20">
        <f>'伤害统计(理想)'!G36</f>
        <v>0</v>
      </c>
      <c r="H36" s="20">
        <f>'伤害统计(理想)'!H36</f>
        <v>0</v>
      </c>
      <c r="I36" s="20">
        <f>'伤害统计(理想)'!I36</f>
        <v>0</v>
      </c>
      <c r="J36" s="20">
        <f>'伤害统计(理想)'!J36</f>
        <v>0</v>
      </c>
      <c r="K36" s="20">
        <f>'伤害统计(理想)'!K36</f>
        <v>0</v>
      </c>
      <c r="L36" s="20">
        <f>'伤害统计(理想)'!L36</f>
        <v>0</v>
      </c>
      <c r="M36" s="20">
        <f>'伤害统计(理想)'!M36</f>
        <v>0</v>
      </c>
      <c r="N36" s="20">
        <f>'伤害统计(理想)'!N36</f>
        <v>0</v>
      </c>
      <c r="O36" s="20">
        <f>'伤害统计(理想)'!O36</f>
        <v>0</v>
      </c>
      <c r="P36" s="20">
        <f>'伤害统计(理想)'!P36</f>
        <v>0</v>
      </c>
      <c r="Q36" s="20">
        <f>'伤害统计(理想)'!Q36</f>
        <v>0</v>
      </c>
      <c r="R36" s="20">
        <f>'伤害统计(理想)'!R36</f>
        <v>0</v>
      </c>
      <c r="S36" s="20">
        <f>'伤害统计(理想)'!S36</f>
        <v>0</v>
      </c>
      <c r="T36" s="20">
        <f>'伤害统计(理想)'!T36</f>
        <v>0</v>
      </c>
      <c r="U36" s="20">
        <f>'伤害统计(理想)'!U36</f>
        <v>0</v>
      </c>
      <c r="V36" s="20">
        <f>'伤害统计(理想)'!V36</f>
        <v>0</v>
      </c>
      <c r="W36" s="20">
        <f>'伤害统计(理想)'!W36</f>
        <v>0</v>
      </c>
      <c r="X36" s="20">
        <f>'伤害统计(理想)'!X36</f>
        <v>0</v>
      </c>
      <c r="Y36" s="20">
        <f>'伤害统计(理想)'!Y36</f>
        <v>0</v>
      </c>
      <c r="Z36" s="20">
        <f>'伤害统计(理想)'!Z36</f>
        <v>0</v>
      </c>
      <c r="AA36" s="20">
        <f>'伤害统计(理想)'!AA36</f>
        <v>0</v>
      </c>
      <c r="AB36" s="20">
        <f>'伤害统计(理想)'!AB36</f>
        <v>0</v>
      </c>
      <c r="AC36" s="29"/>
    </row>
    <row r="37" spans="1:29">
      <c r="A37" s="20">
        <f>'伤害统计(理想)'!A37</f>
        <v>0</v>
      </c>
      <c r="B37" s="20" t="str">
        <f>'伤害统计(理想)'!B37</f>
        <v>常规</v>
      </c>
      <c r="C37" s="20" t="str">
        <f>'伤害统计(理想)'!C37</f>
        <v>小紫</v>
      </c>
      <c r="D37" s="20" t="str">
        <f>'伤害统计(理想)'!D37</f>
        <v>大紫</v>
      </c>
      <c r="E37" s="20" t="str">
        <f>'伤害统计(理想)'!E37</f>
        <v>大紫会神</v>
      </c>
      <c r="F37" s="20" t="str">
        <f>'伤害统计(理想)'!F37</f>
        <v>腰坠常规</v>
      </c>
      <c r="G37" s="20" t="str">
        <f>'伤害统计(理想)'!G37</f>
        <v>腰坠小紫</v>
      </c>
      <c r="H37" s="20" t="str">
        <f>'伤害统计(理想)'!H37</f>
        <v>腰坠大紫</v>
      </c>
      <c r="I37" s="20" t="str">
        <f>'伤害统计(理想)'!I37</f>
        <v>腰坠大紫会神</v>
      </c>
      <c r="J37" s="20">
        <f>'伤害统计(理想)'!J37</f>
        <v>0</v>
      </c>
      <c r="K37" s="20">
        <f>'伤害统计(理想)'!K37</f>
        <v>0</v>
      </c>
      <c r="L37" s="20" t="str">
        <f>'伤害统计(理想)'!L37</f>
        <v>技能数统计</v>
      </c>
      <c r="M37" s="20" t="str">
        <f>'伤害统计(理想)'!M37</f>
        <v>不可修改</v>
      </c>
      <c r="N37" s="20">
        <f>'伤害统计(理想)'!N37</f>
        <v>0</v>
      </c>
      <c r="O37" s="20">
        <f>'伤害统计(理想)'!O37</f>
        <v>0</v>
      </c>
      <c r="P37" s="20">
        <f>'伤害统计(理想)'!P37</f>
        <v>0</v>
      </c>
      <c r="Q37" s="20">
        <f>'伤害统计(理想)'!Q37</f>
        <v>0</v>
      </c>
      <c r="R37" s="20">
        <f>'伤害统计(理想)'!R37</f>
        <v>0</v>
      </c>
      <c r="S37" s="20">
        <f>'伤害统计(理想)'!S37</f>
        <v>0</v>
      </c>
      <c r="T37" s="20">
        <f>'伤害统计(理想)'!T37</f>
        <v>0</v>
      </c>
      <c r="U37" s="20">
        <f>'伤害统计(理想)'!U37</f>
        <v>0</v>
      </c>
      <c r="V37" s="20">
        <f>'伤害统计(理想)'!V37</f>
        <v>0</v>
      </c>
      <c r="W37" s="20">
        <f>'伤害统计(理想)'!W37</f>
        <v>0</v>
      </c>
      <c r="X37" s="20">
        <f>'伤害统计(理想)'!X37</f>
        <v>0</v>
      </c>
      <c r="Y37" s="20">
        <f>'伤害统计(理想)'!Y37</f>
        <v>0</v>
      </c>
      <c r="Z37" s="20">
        <f>'伤害统计(理想)'!Z37</f>
        <v>0</v>
      </c>
      <c r="AA37" s="20">
        <f>'伤害统计(理想)'!AA37</f>
        <v>0</v>
      </c>
      <c r="AB37" s="20">
        <f>'伤害统计(理想)'!AB37</f>
        <v>0</v>
      </c>
      <c r="AC37" s="29"/>
    </row>
    <row r="38" spans="1:29">
      <c r="A38" s="20" t="str">
        <f>'伤害统计(理想)'!A38</f>
        <v>万世二段</v>
      </c>
      <c r="B38" s="20">
        <f>'伤害统计(理想)'!B38</f>
        <v>7</v>
      </c>
      <c r="C38" s="20">
        <f>'伤害统计(理想)'!C38</f>
        <v>0</v>
      </c>
      <c r="D38" s="20">
        <f>'伤害统计(理想)'!D38</f>
        <v>0</v>
      </c>
      <c r="E38" s="20">
        <f>'伤害统计(理想)'!E38</f>
        <v>0</v>
      </c>
      <c r="F38" s="20">
        <f>'伤害统计(理想)'!F38</f>
        <v>0</v>
      </c>
      <c r="G38" s="20">
        <f>'伤害统计(理想)'!G38</f>
        <v>0</v>
      </c>
      <c r="H38" s="20">
        <f>'伤害统计(理想)'!H38</f>
        <v>0</v>
      </c>
      <c r="I38" s="20">
        <f>'伤害统计(理想)'!I38</f>
        <v>0</v>
      </c>
      <c r="J38" s="20">
        <f>'伤害统计(理想)'!J38</f>
        <v>0</v>
      </c>
      <c r="K38" s="20">
        <f>'伤害统计(理想)'!K38</f>
        <v>7</v>
      </c>
      <c r="L38" s="20">
        <f>'伤害统计(理想)'!L38</f>
        <v>7</v>
      </c>
      <c r="M38" s="20">
        <f>'伤害统计(理想)'!M38</f>
        <v>7</v>
      </c>
      <c r="N38" s="20" t="str">
        <f>'伤害统计(理想)'!N38</f>
        <v>伤害统计</v>
      </c>
      <c r="O38" s="20">
        <f>'伤害统计(理想)'!O38</f>
        <v>0</v>
      </c>
      <c r="P38" s="20">
        <f>'伤害统计(理想)'!P38</f>
        <v>0</v>
      </c>
      <c r="Q38" s="20">
        <f>'伤害统计(理想)'!Q38</f>
        <v>0</v>
      </c>
      <c r="R38" s="20">
        <f>'伤害统计(理想)'!R38</f>
        <v>0</v>
      </c>
      <c r="S38" s="20">
        <f>'伤害统计(理想)'!S38</f>
        <v>0</v>
      </c>
      <c r="T38" s="20">
        <f>'伤害统计(理想)'!T38</f>
        <v>0</v>
      </c>
      <c r="U38" s="20">
        <f>'伤害统计(理想)'!U38</f>
        <v>0</v>
      </c>
      <c r="V38" s="20">
        <f>'伤害统计(理想)'!V38</f>
        <v>0</v>
      </c>
      <c r="W38" s="20">
        <f>'伤害统计(理想)'!W38</f>
        <v>0</v>
      </c>
      <c r="X38" s="20">
        <f>'伤害统计(理想)'!X38</f>
        <v>0</v>
      </c>
      <c r="Y38" s="20">
        <f>'伤害统计(理想)'!Y38</f>
        <v>0</v>
      </c>
      <c r="Z38" s="20">
        <f>'伤害统计(理想)'!Z38</f>
        <v>0</v>
      </c>
      <c r="AA38" s="20">
        <f>'伤害统计(理想)'!AA38</f>
        <v>0</v>
      </c>
      <c r="AB38" s="20">
        <f>'伤害统计(理想)'!AB38</f>
        <v>0</v>
      </c>
      <c r="AC38" s="29"/>
    </row>
    <row r="39" spans="1:29">
      <c r="A39" s="20" t="str">
        <f>'伤害统计(理想)'!A39</f>
        <v>飞剑1</v>
      </c>
      <c r="B39" s="20">
        <f>'伤害统计(理想)'!B39</f>
        <v>99</v>
      </c>
      <c r="C39" s="20">
        <f>'伤害统计(理想)'!C39</f>
        <v>0</v>
      </c>
      <c r="D39" s="20">
        <f>'伤害统计(理想)'!D39</f>
        <v>5</v>
      </c>
      <c r="E39" s="20">
        <f>'伤害统计(理想)'!E39</f>
        <v>10</v>
      </c>
      <c r="F39" s="20">
        <f>'伤害统计(理想)'!F39</f>
        <v>2</v>
      </c>
      <c r="G39" s="20">
        <f>'伤害统计(理想)'!G39</f>
        <v>0</v>
      </c>
      <c r="H39" s="20">
        <f>'伤害统计(理想)'!H39</f>
        <v>2</v>
      </c>
      <c r="I39" s="20">
        <f>'伤害统计(理想)'!I39</f>
        <v>4</v>
      </c>
      <c r="J39" s="20">
        <f>'伤害统计(理想)'!J39</f>
        <v>0</v>
      </c>
      <c r="K39" s="20">
        <f>'伤害统计(理想)'!K39</f>
        <v>122</v>
      </c>
      <c r="L39" s="20">
        <f>'伤害统计(理想)'!L39</f>
        <v>610</v>
      </c>
      <c r="M39" s="20">
        <f>'伤害统计(理想)'!M39</f>
        <v>115</v>
      </c>
      <c r="N39" s="20">
        <f>'伤害统计(理想)'!N39</f>
        <v>0</v>
      </c>
      <c r="O39" s="20" t="str">
        <f>'伤害统计(理想)'!O39</f>
        <v>技能名称</v>
      </c>
      <c r="P39" s="20" t="str">
        <f>'伤害统计(理想)'!P39</f>
        <v>次数</v>
      </c>
      <c r="Q39" s="20" t="str">
        <f>'伤害统计(理想)'!Q39</f>
        <v>正常伤害</v>
      </c>
      <c r="R39" s="20" t="str">
        <f>'伤害统计(理想)'!R39</f>
        <v>伤害占比</v>
      </c>
      <c r="S39" s="20">
        <f>'伤害统计(理想)'!S39</f>
        <v>0</v>
      </c>
      <c r="T39" s="20">
        <f>'伤害统计(理想)'!T39</f>
        <v>0</v>
      </c>
      <c r="U39" s="20">
        <f>'伤害统计(理想)'!U39</f>
        <v>0</v>
      </c>
      <c r="V39" s="20">
        <f>'伤害统计(理想)'!V39</f>
        <v>0</v>
      </c>
      <c r="W39" s="20">
        <f>'伤害统计(理想)'!W39</f>
        <v>0</v>
      </c>
      <c r="X39" s="20">
        <f>'伤害统计(理想)'!X39</f>
        <v>0</v>
      </c>
      <c r="Y39" s="20">
        <f>'伤害统计(理想)'!Y39</f>
        <v>0</v>
      </c>
      <c r="Z39" s="20">
        <f>'伤害统计(理想)'!Z39</f>
        <v>0</v>
      </c>
      <c r="AA39" s="20">
        <f>'伤害统计(理想)'!AA39</f>
        <v>0</v>
      </c>
      <c r="AB39" s="20">
        <f>'伤害统计(理想)'!AB39</f>
        <v>0</v>
      </c>
      <c r="AC39" s="29"/>
    </row>
    <row r="40" spans="1:29">
      <c r="A40" s="20" t="str">
        <f>'伤害统计(理想)'!A40</f>
        <v>飞剑2</v>
      </c>
      <c r="B40" s="20">
        <f>'伤害统计(理想)'!B40</f>
        <v>99</v>
      </c>
      <c r="C40" s="20">
        <f>'伤害统计(理想)'!C40</f>
        <v>0</v>
      </c>
      <c r="D40" s="20">
        <f>'伤害统计(理想)'!D40</f>
        <v>5</v>
      </c>
      <c r="E40" s="20">
        <f>'伤害统计(理想)'!E40</f>
        <v>10</v>
      </c>
      <c r="F40" s="20">
        <f>'伤害统计(理想)'!F40</f>
        <v>2</v>
      </c>
      <c r="G40" s="20">
        <f>'伤害统计(理想)'!G40</f>
        <v>0</v>
      </c>
      <c r="H40" s="20">
        <f>'伤害统计(理想)'!H40</f>
        <v>2</v>
      </c>
      <c r="I40" s="20">
        <f>'伤害统计(理想)'!I40</f>
        <v>4</v>
      </c>
      <c r="J40" s="20">
        <f>'伤害统计(理想)'!J40</f>
        <v>0</v>
      </c>
      <c r="K40" s="20">
        <f>'伤害统计(理想)'!K40</f>
        <v>122</v>
      </c>
      <c r="L40" s="20">
        <f>'伤害统计(理想)'!L40</f>
        <v>0</v>
      </c>
      <c r="M40" s="20">
        <f>'伤害统计(理想)'!M40</f>
        <v>0</v>
      </c>
      <c r="N40" s="20">
        <f>'伤害统计(理想)'!N40</f>
        <v>1</v>
      </c>
      <c r="O40" s="20" t="str">
        <f>'伤害统计(理想)'!O40</f>
        <v>破</v>
      </c>
      <c r="P40" s="20">
        <f>'伤害统计(理想)'!P40</f>
        <v>91</v>
      </c>
      <c r="Q40" s="20">
        <f>'伤害统计(理想)'!Q40</f>
        <v>50882445</v>
      </c>
      <c r="R40" s="20">
        <f>'伤害统计(理想)'!R40</f>
        <v>0.235591999359747</v>
      </c>
      <c r="S40" s="20">
        <f>'伤害统计(理想)'!S40</f>
        <v>0</v>
      </c>
      <c r="T40" s="20">
        <f>'伤害统计(理想)'!T40</f>
        <v>0</v>
      </c>
      <c r="U40" s="20">
        <f>'伤害统计(理想)'!U40</f>
        <v>0</v>
      </c>
      <c r="V40" s="20">
        <f>'伤害统计(理想)'!V40</f>
        <v>0</v>
      </c>
      <c r="W40" s="20">
        <f>'伤害统计(理想)'!W40</f>
        <v>0</v>
      </c>
      <c r="X40" s="20">
        <f>'伤害统计(理想)'!X40</f>
        <v>0</v>
      </c>
      <c r="Y40" s="20">
        <f>'伤害统计(理想)'!Y40</f>
        <v>0</v>
      </c>
      <c r="Z40" s="20">
        <f>'伤害统计(理想)'!Z40</f>
        <v>0</v>
      </c>
      <c r="AA40" s="20">
        <f>'伤害统计(理想)'!AA40</f>
        <v>0</v>
      </c>
      <c r="AB40" s="20">
        <f>'伤害统计(理想)'!AB40</f>
        <v>0</v>
      </c>
      <c r="AC40" s="29"/>
    </row>
    <row r="41" spans="1:29">
      <c r="A41" s="20" t="str">
        <f>'伤害统计(理想)'!A41</f>
        <v>飞剑3</v>
      </c>
      <c r="B41" s="20">
        <f>'伤害统计(理想)'!B41</f>
        <v>99</v>
      </c>
      <c r="C41" s="20">
        <f>'伤害统计(理想)'!C41</f>
        <v>0</v>
      </c>
      <c r="D41" s="20">
        <f>'伤害统计(理想)'!D41</f>
        <v>5</v>
      </c>
      <c r="E41" s="20">
        <f>'伤害统计(理想)'!E41</f>
        <v>10</v>
      </c>
      <c r="F41" s="20">
        <f>'伤害统计(理想)'!F41</f>
        <v>2</v>
      </c>
      <c r="G41" s="20">
        <f>'伤害统计(理想)'!G41</f>
        <v>0</v>
      </c>
      <c r="H41" s="20">
        <f>'伤害统计(理想)'!H41</f>
        <v>2</v>
      </c>
      <c r="I41" s="20">
        <f>'伤害统计(理想)'!I41</f>
        <v>4</v>
      </c>
      <c r="J41" s="20">
        <f>'伤害统计(理想)'!J41</f>
        <v>0</v>
      </c>
      <c r="K41" s="20">
        <f>'伤害统计(理想)'!K41</f>
        <v>122</v>
      </c>
      <c r="L41" s="20">
        <f>'伤害统计(理想)'!L41</f>
        <v>0</v>
      </c>
      <c r="M41" s="20">
        <f>'伤害统计(理想)'!M41</f>
        <v>0</v>
      </c>
      <c r="N41" s="20">
        <f>'伤害统计(理想)'!N41</f>
        <v>2</v>
      </c>
      <c r="O41" s="20" t="str">
        <f>'伤害统计(理想)'!O41</f>
        <v>飞剑</v>
      </c>
      <c r="P41" s="20">
        <f>'伤害统计(理想)'!P41</f>
        <v>610</v>
      </c>
      <c r="Q41" s="20">
        <f>'伤害统计(理想)'!Q41</f>
        <v>67946513</v>
      </c>
      <c r="R41" s="20">
        <f>'伤害统计(理想)'!R41</f>
        <v>0.314600739944651</v>
      </c>
      <c r="S41" s="20">
        <f>'伤害统计(理想)'!S41</f>
        <v>0</v>
      </c>
      <c r="T41" s="20">
        <f>'伤害统计(理想)'!T41</f>
        <v>0</v>
      </c>
      <c r="U41" s="20">
        <f>'伤害统计(理想)'!U41</f>
        <v>0</v>
      </c>
      <c r="V41" s="20">
        <f>'伤害统计(理想)'!V41</f>
        <v>0</v>
      </c>
      <c r="W41" s="20">
        <f>'伤害统计(理想)'!W41</f>
        <v>0</v>
      </c>
      <c r="X41" s="20">
        <f>'伤害统计(理想)'!X41</f>
        <v>0</v>
      </c>
      <c r="Y41" s="20">
        <f>'伤害统计(理想)'!Y41</f>
        <v>0</v>
      </c>
      <c r="Z41" s="20">
        <f>'伤害统计(理想)'!Z41</f>
        <v>0</v>
      </c>
      <c r="AA41" s="20">
        <f>'伤害统计(理想)'!AA41</f>
        <v>0</v>
      </c>
      <c r="AB41" s="20">
        <f>'伤害统计(理想)'!AB41</f>
        <v>0</v>
      </c>
      <c r="AC41" s="29"/>
    </row>
    <row r="42" spans="1:29">
      <c r="A42" s="20" t="str">
        <f>'伤害统计(理想)'!A42</f>
        <v>飞剑4</v>
      </c>
      <c r="B42" s="20">
        <f>'伤害统计(理想)'!B42</f>
        <v>99</v>
      </c>
      <c r="C42" s="20">
        <f>'伤害统计(理想)'!C42</f>
        <v>0</v>
      </c>
      <c r="D42" s="20">
        <f>'伤害统计(理想)'!D42</f>
        <v>5</v>
      </c>
      <c r="E42" s="20">
        <f>'伤害统计(理想)'!E42</f>
        <v>10</v>
      </c>
      <c r="F42" s="20">
        <f>'伤害统计(理想)'!F42</f>
        <v>2</v>
      </c>
      <c r="G42" s="20">
        <f>'伤害统计(理想)'!G42</f>
        <v>0</v>
      </c>
      <c r="H42" s="20">
        <f>'伤害统计(理想)'!H42</f>
        <v>2</v>
      </c>
      <c r="I42" s="20">
        <f>'伤害统计(理想)'!I42</f>
        <v>4</v>
      </c>
      <c r="J42" s="20">
        <f>'伤害统计(理想)'!J42</f>
        <v>0</v>
      </c>
      <c r="K42" s="20">
        <f>'伤害统计(理想)'!K42</f>
        <v>122</v>
      </c>
      <c r="L42" s="20">
        <f>'伤害统计(理想)'!L42</f>
        <v>0</v>
      </c>
      <c r="M42" s="20">
        <f>'伤害统计(理想)'!M42</f>
        <v>0</v>
      </c>
      <c r="N42" s="20">
        <f>'伤害统计(理想)'!N42</f>
        <v>3</v>
      </c>
      <c r="O42" s="20" t="str">
        <f>'伤害统计(理想)'!O42</f>
        <v>两仪</v>
      </c>
      <c r="P42" s="20">
        <f>'伤害统计(理想)'!P42</f>
        <v>84</v>
      </c>
      <c r="Q42" s="20">
        <f>'伤害统计(理想)'!Q42</f>
        <v>28818379</v>
      </c>
      <c r="R42" s="20">
        <f>'伤害统计(理想)'!R42</f>
        <v>0.133432651023687</v>
      </c>
      <c r="S42" s="20">
        <f>'伤害统计(理想)'!S42</f>
        <v>0</v>
      </c>
      <c r="T42" s="20">
        <f>'伤害统计(理想)'!T42</f>
        <v>0</v>
      </c>
      <c r="U42" s="20">
        <f>'伤害统计(理想)'!U42</f>
        <v>0</v>
      </c>
      <c r="V42" s="20">
        <f>'伤害统计(理想)'!V42</f>
        <v>0</v>
      </c>
      <c r="W42" s="20">
        <f>'伤害统计(理想)'!W42</f>
        <v>0</v>
      </c>
      <c r="X42" s="20">
        <f>'伤害统计(理想)'!X42</f>
        <v>0</v>
      </c>
      <c r="Y42" s="20">
        <f>'伤害统计(理想)'!Y42</f>
        <v>0</v>
      </c>
      <c r="Z42" s="20">
        <f>'伤害统计(理想)'!Z42</f>
        <v>0</v>
      </c>
      <c r="AA42" s="20">
        <f>'伤害统计(理想)'!AA42</f>
        <v>0</v>
      </c>
      <c r="AB42" s="20">
        <f>'伤害统计(理想)'!AB42</f>
        <v>0</v>
      </c>
      <c r="AC42" s="29"/>
    </row>
    <row r="43" spans="1:29">
      <c r="A43" s="20" t="str">
        <f>'伤害统计(理想)'!A43</f>
        <v>飞剑5</v>
      </c>
      <c r="B43" s="20">
        <f>'伤害统计(理想)'!B43</f>
        <v>99</v>
      </c>
      <c r="C43" s="20">
        <f>'伤害统计(理想)'!C43</f>
        <v>0</v>
      </c>
      <c r="D43" s="20">
        <f>'伤害统计(理想)'!D43</f>
        <v>5</v>
      </c>
      <c r="E43" s="20">
        <f>'伤害统计(理想)'!E43</f>
        <v>10</v>
      </c>
      <c r="F43" s="20">
        <f>'伤害统计(理想)'!F43</f>
        <v>2</v>
      </c>
      <c r="G43" s="20">
        <f>'伤害统计(理想)'!G43</f>
        <v>0</v>
      </c>
      <c r="H43" s="20">
        <f>'伤害统计(理想)'!H43</f>
        <v>2</v>
      </c>
      <c r="I43" s="20">
        <f>'伤害统计(理想)'!I43</f>
        <v>4</v>
      </c>
      <c r="J43" s="20">
        <f>'伤害统计(理想)'!J43</f>
        <v>0</v>
      </c>
      <c r="K43" s="20">
        <f>'伤害统计(理想)'!K43</f>
        <v>122</v>
      </c>
      <c r="L43" s="20">
        <f>'伤害统计(理想)'!L43</f>
        <v>0</v>
      </c>
      <c r="M43" s="20">
        <f>'伤害统计(理想)'!M43</f>
        <v>0</v>
      </c>
      <c r="N43" s="20">
        <f>'伤害统计(理想)'!N43</f>
        <v>4</v>
      </c>
      <c r="O43" s="20" t="str">
        <f>'伤害统计(理想)'!O43</f>
        <v>颠越苍穹击</v>
      </c>
      <c r="P43" s="20">
        <f>'伤害统计(理想)'!P43</f>
        <v>168</v>
      </c>
      <c r="Q43" s="20">
        <f>'伤害统计(理想)'!Q43</f>
        <v>21612014</v>
      </c>
      <c r="R43" s="20">
        <f>'伤害统计(理想)'!R43</f>
        <v>0.100066291791812</v>
      </c>
      <c r="S43" s="20">
        <f>'伤害统计(理想)'!S43</f>
        <v>0</v>
      </c>
      <c r="T43" s="20">
        <f>'伤害统计(理想)'!T43</f>
        <v>0</v>
      </c>
      <c r="U43" s="20">
        <f>'伤害统计(理想)'!U43</f>
        <v>0</v>
      </c>
      <c r="V43" s="20">
        <f>'伤害统计(理想)'!V43</f>
        <v>0</v>
      </c>
      <c r="W43" s="20">
        <f>'伤害统计(理想)'!W43</f>
        <v>0</v>
      </c>
      <c r="X43" s="20">
        <f>'伤害统计(理想)'!X43</f>
        <v>0</v>
      </c>
      <c r="Y43" s="20">
        <f>'伤害统计(理想)'!Y43</f>
        <v>0</v>
      </c>
      <c r="Z43" s="20">
        <f>'伤害统计(理想)'!Z43</f>
        <v>0</v>
      </c>
      <c r="AA43" s="20">
        <f>'伤害统计(理想)'!AA43</f>
        <v>0</v>
      </c>
      <c r="AB43" s="20">
        <f>'伤害统计(理想)'!AB43</f>
        <v>0</v>
      </c>
      <c r="AC43" s="29"/>
    </row>
    <row r="44" spans="1:29">
      <c r="A44" s="20" t="str">
        <f>'伤害统计(理想)'!A44</f>
        <v>颠越苍穹击</v>
      </c>
      <c r="B44" s="20">
        <f>'伤害统计(理想)'!B44</f>
        <v>28</v>
      </c>
      <c r="C44" s="20">
        <f>'伤害统计(理想)'!C44</f>
        <v>0</v>
      </c>
      <c r="D44" s="20">
        <f>'伤害统计(理想)'!D44</f>
        <v>0</v>
      </c>
      <c r="E44" s="20">
        <f>'伤害统计(理想)'!E44</f>
        <v>100</v>
      </c>
      <c r="F44" s="20">
        <f>'伤害统计(理想)'!F44</f>
        <v>0</v>
      </c>
      <c r="G44" s="20">
        <f>'伤害统计(理想)'!G44</f>
        <v>0</v>
      </c>
      <c r="H44" s="20">
        <f>'伤害统计(理想)'!H44</f>
        <v>0</v>
      </c>
      <c r="I44" s="20">
        <f>'伤害统计(理想)'!I44</f>
        <v>40</v>
      </c>
      <c r="J44" s="20">
        <f>'伤害统计(理想)'!J44</f>
        <v>0</v>
      </c>
      <c r="K44" s="20">
        <f>'伤害统计(理想)'!K44</f>
        <v>168</v>
      </c>
      <c r="L44" s="20">
        <f>'伤害统计(理想)'!L44</f>
        <v>168</v>
      </c>
      <c r="M44" s="20">
        <f>'伤害统计(理想)'!M44</f>
        <v>168</v>
      </c>
      <c r="N44" s="20">
        <f>'伤害统计(理想)'!N44</f>
        <v>5</v>
      </c>
      <c r="O44" s="20" t="str">
        <f>'伤害统计(理想)'!O44</f>
        <v>六合</v>
      </c>
      <c r="P44" s="20">
        <f>'伤害统计(理想)'!P44</f>
        <v>93</v>
      </c>
      <c r="Q44" s="20">
        <f>'伤害统计(理想)'!Q44</f>
        <v>13289482</v>
      </c>
      <c r="R44" s="20">
        <f>'伤害统计(理想)'!R44</f>
        <v>0.0615319416123844</v>
      </c>
      <c r="S44" s="20">
        <f>'伤害统计(理想)'!S44</f>
        <v>0</v>
      </c>
      <c r="T44" s="20">
        <f>'伤害统计(理想)'!T44</f>
        <v>0</v>
      </c>
      <c r="U44" s="20">
        <f>'伤害统计(理想)'!U44</f>
        <v>0</v>
      </c>
      <c r="V44" s="20">
        <f>'伤害统计(理想)'!V44</f>
        <v>0</v>
      </c>
      <c r="W44" s="20">
        <f>'伤害统计(理想)'!W44</f>
        <v>0</v>
      </c>
      <c r="X44" s="20">
        <f>'伤害统计(理想)'!X44</f>
        <v>0</v>
      </c>
      <c r="Y44" s="20">
        <f>'伤害统计(理想)'!Y44</f>
        <v>0</v>
      </c>
      <c r="Z44" s="20">
        <f>'伤害统计(理想)'!Z44</f>
        <v>0</v>
      </c>
      <c r="AA44" s="20">
        <f>'伤害统计(理想)'!AA44</f>
        <v>0</v>
      </c>
      <c r="AB44" s="20">
        <f>'伤害统计(理想)'!AB44</f>
        <v>0</v>
      </c>
      <c r="AC44" s="29"/>
    </row>
    <row r="45" spans="1:29">
      <c r="A45" s="20" t="str">
        <f>'伤害统计(理想)'!A45</f>
        <v>五方行尽</v>
      </c>
      <c r="B45" s="20">
        <f>'伤害统计(理想)'!B45</f>
        <v>7</v>
      </c>
      <c r="C45" s="20">
        <f>'伤害统计(理想)'!C45</f>
        <v>0</v>
      </c>
      <c r="D45" s="20">
        <f>'伤害统计(理想)'!D45</f>
        <v>0</v>
      </c>
      <c r="E45" s="20">
        <f>'伤害统计(理想)'!E45</f>
        <v>0</v>
      </c>
      <c r="F45" s="20">
        <f>'伤害统计(理想)'!F45</f>
        <v>0</v>
      </c>
      <c r="G45" s="20">
        <f>'伤害统计(理想)'!G45</f>
        <v>0</v>
      </c>
      <c r="H45" s="20">
        <f>'伤害统计(理想)'!H45</f>
        <v>0</v>
      </c>
      <c r="I45" s="20">
        <f>'伤害统计(理想)'!I45</f>
        <v>0</v>
      </c>
      <c r="J45" s="20">
        <f>'伤害统计(理想)'!J45</f>
        <v>0</v>
      </c>
      <c r="K45" s="20">
        <f>'伤害统计(理想)'!K45</f>
        <v>7</v>
      </c>
      <c r="L45" s="20">
        <f>'伤害统计(理想)'!L45</f>
        <v>7</v>
      </c>
      <c r="M45" s="20">
        <f>'伤害统计(理想)'!M45</f>
        <v>0</v>
      </c>
      <c r="N45" s="20">
        <f>'伤害统计(理想)'!N45</f>
        <v>6</v>
      </c>
      <c r="O45" s="20" t="str">
        <f>'伤害统计(理想)'!O45</f>
        <v>四象</v>
      </c>
      <c r="P45" s="20">
        <f>'伤害统计(理想)'!P45</f>
        <v>65</v>
      </c>
      <c r="Q45" s="20">
        <f>'伤害统计(理想)'!Q45</f>
        <v>26849390</v>
      </c>
      <c r="R45" s="20">
        <f>'伤害统计(理想)'!R45</f>
        <v>0.124315988975954</v>
      </c>
      <c r="S45" s="20">
        <f>'伤害统计(理想)'!S45</f>
        <v>0</v>
      </c>
      <c r="T45" s="20">
        <f>'伤害统计(理想)'!T45</f>
        <v>0</v>
      </c>
      <c r="U45" s="20">
        <f>'伤害统计(理想)'!U45</f>
        <v>0</v>
      </c>
      <c r="V45" s="20">
        <f>'伤害统计(理想)'!V45</f>
        <v>0</v>
      </c>
      <c r="W45" s="20">
        <f>'伤害统计(理想)'!W45</f>
        <v>0</v>
      </c>
      <c r="X45" s="20">
        <f>'伤害统计(理想)'!X45</f>
        <v>0</v>
      </c>
      <c r="Y45" s="20">
        <f>'伤害统计(理想)'!Y45</f>
        <v>0</v>
      </c>
      <c r="Z45" s="20">
        <f>'伤害统计(理想)'!Z45</f>
        <v>0</v>
      </c>
      <c r="AA45" s="20">
        <f>'伤害统计(理想)'!AA45</f>
        <v>0</v>
      </c>
      <c r="AB45" s="20">
        <f>'伤害统计(理想)'!AB45</f>
        <v>0</v>
      </c>
      <c r="AC45" s="29"/>
    </row>
    <row r="46" spans="1:29">
      <c r="A46" s="20" t="str">
        <f>'伤害统计(理想)'!A46</f>
        <v>四象轮回</v>
      </c>
      <c r="B46" s="20">
        <f>'伤害统计(理想)'!B46</f>
        <v>42</v>
      </c>
      <c r="C46" s="20">
        <f>'伤害统计(理想)'!C46</f>
        <v>0</v>
      </c>
      <c r="D46" s="20">
        <f>'伤害统计(理想)'!D46</f>
        <v>5</v>
      </c>
      <c r="E46" s="20">
        <f>'伤害统计(理想)'!E46</f>
        <v>10</v>
      </c>
      <c r="F46" s="20">
        <f>'伤害统计(理想)'!F46</f>
        <v>2</v>
      </c>
      <c r="G46" s="20">
        <f>'伤害统计(理想)'!G46</f>
        <v>0</v>
      </c>
      <c r="H46" s="20">
        <f>'伤害统计(理想)'!H46</f>
        <v>2</v>
      </c>
      <c r="I46" s="20">
        <f>'伤害统计(理想)'!I46</f>
        <v>4</v>
      </c>
      <c r="J46" s="20">
        <f>'伤害统计(理想)'!J46</f>
        <v>0</v>
      </c>
      <c r="K46" s="20">
        <f>'伤害统计(理想)'!K46</f>
        <v>65</v>
      </c>
      <c r="L46" s="20">
        <f>'伤害统计(理想)'!L46</f>
        <v>65</v>
      </c>
      <c r="M46" s="20">
        <f>'伤害统计(理想)'!M46</f>
        <v>0</v>
      </c>
      <c r="N46" s="20">
        <f>'伤害统计(理想)'!N46</f>
        <v>7</v>
      </c>
      <c r="O46" s="20" t="str">
        <f>'伤害统计(理想)'!O46</f>
        <v>万世不竭</v>
      </c>
      <c r="P46" s="20">
        <f>'伤害统计(理想)'!P46</f>
        <v>7</v>
      </c>
      <c r="Q46" s="20">
        <f>'伤害统计(理想)'!Q46</f>
        <v>4554092</v>
      </c>
      <c r="R46" s="20">
        <f>'伤害统计(理想)'!R46</f>
        <v>0.0210860079453381</v>
      </c>
      <c r="S46" s="20">
        <f>'伤害统计(理想)'!S46</f>
        <v>0</v>
      </c>
      <c r="T46" s="20">
        <f>'伤害统计(理想)'!T46</f>
        <v>0</v>
      </c>
      <c r="U46" s="20">
        <f>'伤害统计(理想)'!U46</f>
        <v>0</v>
      </c>
      <c r="V46" s="20">
        <f>'伤害统计(理想)'!V46</f>
        <v>0</v>
      </c>
      <c r="W46" s="20">
        <f>'伤害统计(理想)'!W46</f>
        <v>0</v>
      </c>
      <c r="X46" s="20">
        <f>'伤害统计(理想)'!X46</f>
        <v>0</v>
      </c>
      <c r="Y46" s="20">
        <f>'伤害统计(理想)'!Y46</f>
        <v>0</v>
      </c>
      <c r="Z46" s="20">
        <f>'伤害统计(理想)'!Z46</f>
        <v>0</v>
      </c>
      <c r="AA46" s="20">
        <f>'伤害统计(理想)'!AA46</f>
        <v>0</v>
      </c>
      <c r="AB46" s="20">
        <f>'伤害统计(理想)'!AB46</f>
        <v>0</v>
      </c>
      <c r="AC46" s="32"/>
    </row>
    <row r="47" spans="1:29">
      <c r="A47" s="20" t="str">
        <f>'伤害统计(理想)'!A47</f>
        <v>两仪化形(5)</v>
      </c>
      <c r="B47" s="20">
        <f>'伤害统计(理想)'!B47</f>
        <v>42</v>
      </c>
      <c r="C47" s="20">
        <f>'伤害统计(理想)'!C47</f>
        <v>0</v>
      </c>
      <c r="D47" s="20">
        <f>'伤害统计(理想)'!D47</f>
        <v>5</v>
      </c>
      <c r="E47" s="20">
        <f>'伤害统计(理想)'!E47</f>
        <v>15</v>
      </c>
      <c r="F47" s="20">
        <f>'伤害统计(理想)'!F47</f>
        <v>2</v>
      </c>
      <c r="G47" s="20">
        <f>'伤害统计(理想)'!G47</f>
        <v>0</v>
      </c>
      <c r="H47" s="20">
        <f>'伤害统计(理想)'!H47</f>
        <v>2</v>
      </c>
      <c r="I47" s="20">
        <f>'伤害统计(理想)'!I47</f>
        <v>6</v>
      </c>
      <c r="J47" s="20">
        <f>'伤害统计(理想)'!J47</f>
        <v>0</v>
      </c>
      <c r="K47" s="20">
        <f>'伤害统计(理想)'!K47</f>
        <v>72</v>
      </c>
      <c r="L47" s="20">
        <f>'伤害统计(理想)'!L47</f>
        <v>84</v>
      </c>
      <c r="M47" s="20">
        <f>'伤害统计(理想)'!M47</f>
        <v>30</v>
      </c>
      <c r="N47" s="20">
        <f>'伤害统计(理想)'!N47</f>
        <v>8</v>
      </c>
      <c r="O47" s="20" t="str">
        <f>'伤害统计(理想)'!O47</f>
        <v>空啸太玄剑</v>
      </c>
      <c r="P47" s="20">
        <f>'伤害统计(理想)'!P47</f>
        <v>0</v>
      </c>
      <c r="Q47" s="20">
        <f>'伤害统计(理想)'!Q47</f>
        <v>0</v>
      </c>
      <c r="R47" s="20">
        <f>'伤害统计(理想)'!R47</f>
        <v>0</v>
      </c>
      <c r="S47" s="20">
        <f>'伤害统计(理想)'!S47</f>
        <v>0</v>
      </c>
      <c r="T47" s="20">
        <f>'伤害统计(理想)'!T47</f>
        <v>0</v>
      </c>
      <c r="U47" s="20">
        <f>'伤害统计(理想)'!U47</f>
        <v>0</v>
      </c>
      <c r="V47" s="20">
        <f>'伤害统计(理想)'!V47</f>
        <v>0</v>
      </c>
      <c r="W47" s="20">
        <f>'伤害统计(理想)'!W47</f>
        <v>0</v>
      </c>
      <c r="X47" s="20">
        <f>'伤害统计(理想)'!X47</f>
        <v>0</v>
      </c>
      <c r="Y47" s="20">
        <f>'伤害统计(理想)'!Y47</f>
        <v>0</v>
      </c>
      <c r="Z47" s="20">
        <f>'伤害统计(理想)'!Z47</f>
        <v>0</v>
      </c>
      <c r="AA47" s="20">
        <f>'伤害统计(理想)'!AA47</f>
        <v>0</v>
      </c>
      <c r="AB47" s="20">
        <f>'伤害统计(理想)'!AB47</f>
        <v>0</v>
      </c>
      <c r="AC47" s="29"/>
    </row>
    <row r="48" spans="1:29">
      <c r="A48" s="20" t="str">
        <f>'伤害统计(理想)'!A48</f>
        <v>两仪化形(4</v>
      </c>
      <c r="B48" s="20">
        <f>'伤害统计(理想)'!B48</f>
        <v>12</v>
      </c>
      <c r="C48" s="20">
        <f>'伤害统计(理想)'!C48</f>
        <v>0</v>
      </c>
      <c r="D48" s="20">
        <f>'伤害统计(理想)'!D48</f>
        <v>0</v>
      </c>
      <c r="E48" s="20">
        <f>'伤害统计(理想)'!E48</f>
        <v>0</v>
      </c>
      <c r="F48" s="20">
        <f>'伤害统计(理想)'!F48</f>
        <v>0</v>
      </c>
      <c r="G48" s="20">
        <f>'伤害统计(理想)'!G48</f>
        <v>0</v>
      </c>
      <c r="H48" s="20">
        <f>'伤害统计(理想)'!H48</f>
        <v>0</v>
      </c>
      <c r="I48" s="20">
        <f>'伤害统计(理想)'!I48</f>
        <v>0</v>
      </c>
      <c r="J48" s="20">
        <f>'伤害统计(理想)'!J48</f>
        <v>0</v>
      </c>
      <c r="K48" s="20">
        <f>'伤害统计(理想)'!K48</f>
        <v>12</v>
      </c>
      <c r="L48" s="20">
        <f>'伤害统计(理想)'!L48</f>
        <v>0</v>
      </c>
      <c r="M48" s="20">
        <f>'伤害统计(理想)'!M48</f>
        <v>0</v>
      </c>
      <c r="N48" s="20">
        <f>'伤害统计(理想)'!N48</f>
        <v>9</v>
      </c>
      <c r="O48" s="20" t="str">
        <f>'伤害统计(理想)'!O48</f>
        <v>白鹤舒翅</v>
      </c>
      <c r="P48" s="20">
        <f>'伤害统计(理想)'!P48</f>
        <v>0</v>
      </c>
      <c r="Q48" s="20">
        <f>'伤害统计(理想)'!Q48</f>
        <v>0</v>
      </c>
      <c r="R48" s="20">
        <f>'伤害统计(理想)'!R48</f>
        <v>0</v>
      </c>
      <c r="S48" s="20">
        <f>'伤害统计(理想)'!S48</f>
        <v>0</v>
      </c>
      <c r="T48" s="20">
        <f>'伤害统计(理想)'!T48</f>
        <v>0</v>
      </c>
      <c r="U48" s="20">
        <f>'伤害统计(理想)'!U48</f>
        <v>0</v>
      </c>
      <c r="V48" s="20">
        <f>'伤害统计(理想)'!V48</f>
        <v>0</v>
      </c>
      <c r="W48" s="20">
        <f>'伤害统计(理想)'!W48</f>
        <v>0</v>
      </c>
      <c r="X48" s="20">
        <f>'伤害统计(理想)'!X48</f>
        <v>0</v>
      </c>
      <c r="Y48" s="20">
        <f>'伤害统计(理想)'!Y48</f>
        <v>0</v>
      </c>
      <c r="Z48" s="20">
        <f>'伤害统计(理想)'!Z48</f>
        <v>0</v>
      </c>
      <c r="AA48" s="20">
        <f>'伤害统计(理想)'!AA48</f>
        <v>0</v>
      </c>
      <c r="AB48" s="20">
        <f>'伤害统计(理想)'!AB48</f>
        <v>0</v>
      </c>
      <c r="AC48" s="29"/>
    </row>
    <row r="49" ht="17.25" spans="1:39">
      <c r="A49" s="20" t="str">
        <f>'伤害统计(理想)'!A49</f>
        <v>两仪化形(3.5</v>
      </c>
      <c r="B49" s="20">
        <f>'伤害统计(理想)'!B49</f>
        <v>0</v>
      </c>
      <c r="C49" s="20">
        <f>'伤害统计(理想)'!C49</f>
        <v>0</v>
      </c>
      <c r="D49" s="20">
        <f>'伤害统计(理想)'!D49</f>
        <v>0</v>
      </c>
      <c r="E49" s="20">
        <f>'伤害统计(理想)'!E49</f>
        <v>0</v>
      </c>
      <c r="F49" s="20">
        <f>'伤害统计(理想)'!F49</f>
        <v>0</v>
      </c>
      <c r="G49" s="20">
        <f>'伤害统计(理想)'!G49</f>
        <v>0</v>
      </c>
      <c r="H49" s="20">
        <f>'伤害统计(理想)'!H49</f>
        <v>0</v>
      </c>
      <c r="I49" s="20">
        <f>'伤害统计(理想)'!I49</f>
        <v>0</v>
      </c>
      <c r="J49" s="20">
        <f>'伤害统计(理想)'!J49</f>
        <v>0</v>
      </c>
      <c r="K49" s="20">
        <f>'伤害统计(理想)'!K49</f>
        <v>0</v>
      </c>
      <c r="L49" s="20">
        <f>'伤害统计(理想)'!L49</f>
        <v>0</v>
      </c>
      <c r="M49" s="20">
        <f>'伤害统计(理想)'!M49</f>
        <v>0</v>
      </c>
      <c r="N49" s="20">
        <f>'伤害统计(理想)'!N49</f>
        <v>10</v>
      </c>
      <c r="O49" s="20" t="str">
        <f>'伤害统计(理想)'!O49</f>
        <v>厚亡</v>
      </c>
      <c r="P49" s="20">
        <f>'伤害统计(理想)'!P49</f>
        <v>0</v>
      </c>
      <c r="Q49" s="20">
        <f>'伤害统计(理想)'!Q49</f>
        <v>0</v>
      </c>
      <c r="R49" s="20">
        <f>'伤害统计(理想)'!R49</f>
        <v>0</v>
      </c>
      <c r="S49" s="20">
        <f>'伤害统计(理想)'!S49</f>
        <v>0</v>
      </c>
      <c r="T49" s="20">
        <f>'伤害统计(理想)'!T49</f>
        <v>0</v>
      </c>
      <c r="U49" s="20">
        <f>'伤害统计(理想)'!U49</f>
        <v>0</v>
      </c>
      <c r="V49" s="20">
        <f>'伤害统计(理想)'!V49</f>
        <v>0</v>
      </c>
      <c r="W49" s="20">
        <f>'伤害统计(理想)'!W49</f>
        <v>0</v>
      </c>
      <c r="X49" s="20">
        <f>'伤害统计(理想)'!X49</f>
        <v>0</v>
      </c>
      <c r="Y49" s="20">
        <f>'伤害统计(理想)'!Y49</f>
        <v>0</v>
      </c>
      <c r="Z49" s="20">
        <f>'伤害统计(理想)'!Z49</f>
        <v>0</v>
      </c>
      <c r="AA49" s="20">
        <f>'伤害统计(理想)'!AA49</f>
        <v>0</v>
      </c>
      <c r="AB49" s="20">
        <f>'伤害统计(理想)'!AB49</f>
        <v>0</v>
      </c>
      <c r="AC49" s="29"/>
      <c r="AE49" s="33"/>
      <c r="AF49" s="33"/>
      <c r="AG49" s="33"/>
      <c r="AH49" s="34"/>
      <c r="AI49" s="34"/>
      <c r="AJ49" s="34"/>
      <c r="AK49" s="34"/>
      <c r="AL49" s="34"/>
      <c r="AM49" s="34"/>
    </row>
    <row r="50" spans="1:29">
      <c r="A50" s="20" t="str">
        <f>'伤害统计(理想)'!A50</f>
        <v>六合1</v>
      </c>
      <c r="B50" s="20">
        <f>'伤害统计(理想)'!B50</f>
        <v>13</v>
      </c>
      <c r="C50" s="20">
        <f>'伤害统计(理想)'!C50</f>
        <v>0</v>
      </c>
      <c r="D50" s="20">
        <f>'伤害统计(理想)'!D50</f>
        <v>0</v>
      </c>
      <c r="E50" s="20">
        <f>'伤害统计(理想)'!E50</f>
        <v>0</v>
      </c>
      <c r="F50" s="20">
        <f>'伤害统计(理想)'!F50</f>
        <v>0</v>
      </c>
      <c r="G50" s="20">
        <f>'伤害统计(理想)'!G50</f>
        <v>0</v>
      </c>
      <c r="H50" s="20">
        <f>'伤害统计(理想)'!H50</f>
        <v>0</v>
      </c>
      <c r="I50" s="20">
        <f>'伤害统计(理想)'!I50</f>
        <v>0</v>
      </c>
      <c r="J50" s="20">
        <f>'伤害统计(理想)'!J50</f>
        <v>28</v>
      </c>
      <c r="K50" s="20">
        <f>'伤害统计(理想)'!K50</f>
        <v>41</v>
      </c>
      <c r="L50" s="20">
        <f>'伤害统计(理想)'!L50</f>
        <v>93</v>
      </c>
      <c r="M50" s="20">
        <f>'伤害统计(理想)'!M50</f>
        <v>65</v>
      </c>
      <c r="N50" s="20">
        <f>'伤害统计(理想)'!N50</f>
        <v>11</v>
      </c>
      <c r="O50" s="20" t="str">
        <f>'伤害统计(理想)'!O50</f>
        <v>昆吾·弦刃</v>
      </c>
      <c r="P50" s="20">
        <f>'伤害统计(理想)'!P50</f>
        <v>16</v>
      </c>
      <c r="Q50" s="20">
        <f>'伤害统计(理想)'!Q50</f>
        <v>810667</v>
      </c>
      <c r="R50" s="20">
        <f>'伤害统计(理想)'!R50</f>
        <v>0.00375348824815646</v>
      </c>
      <c r="S50" s="20">
        <f>'伤害统计(理想)'!S50</f>
        <v>0</v>
      </c>
      <c r="T50" s="20">
        <f>'伤害统计(理想)'!T50</f>
        <v>0</v>
      </c>
      <c r="U50" s="20">
        <f>'伤害统计(理想)'!U50</f>
        <v>0</v>
      </c>
      <c r="V50" s="20">
        <f>'伤害统计(理想)'!V50</f>
        <v>0</v>
      </c>
      <c r="W50" s="20">
        <f>'伤害统计(理想)'!W50</f>
        <v>0</v>
      </c>
      <c r="X50" s="20">
        <f>'伤害统计(理想)'!X50</f>
        <v>0</v>
      </c>
      <c r="Y50" s="20">
        <f>'伤害统计(理想)'!Y50</f>
        <v>0</v>
      </c>
      <c r="Z50" s="20">
        <f>'伤害统计(理想)'!Z50</f>
        <v>0</v>
      </c>
      <c r="AA50" s="20">
        <f>'伤害统计(理想)'!AA50</f>
        <v>0</v>
      </c>
      <c r="AB50" s="20">
        <f>'伤害统计(理想)'!AB50</f>
        <v>0</v>
      </c>
      <c r="AC50" s="29"/>
    </row>
    <row r="51" spans="1:31">
      <c r="A51" s="20" t="str">
        <f>'伤害统计(理想)'!A51</f>
        <v>六合2</v>
      </c>
      <c r="B51" s="20">
        <f>'伤害统计(理想)'!B51</f>
        <v>6</v>
      </c>
      <c r="C51" s="20">
        <f>'伤害统计(理想)'!C51</f>
        <v>0</v>
      </c>
      <c r="D51" s="20">
        <f>'伤害统计(理想)'!D51</f>
        <v>0</v>
      </c>
      <c r="E51" s="20">
        <f>'伤害统计(理想)'!E51</f>
        <v>5</v>
      </c>
      <c r="F51" s="20">
        <f>'伤害统计(理想)'!F51</f>
        <v>0</v>
      </c>
      <c r="G51" s="20">
        <f>'伤害统计(理想)'!G51</f>
        <v>0</v>
      </c>
      <c r="H51" s="20">
        <f>'伤害统计(理想)'!H51</f>
        <v>0</v>
      </c>
      <c r="I51" s="20">
        <f>'伤害统计(理想)'!I51</f>
        <v>2</v>
      </c>
      <c r="J51" s="20">
        <f>'伤害统计(理想)'!J51</f>
        <v>0</v>
      </c>
      <c r="K51" s="20">
        <f>'伤害统计(理想)'!K51</f>
        <v>13</v>
      </c>
      <c r="L51" s="20">
        <f>'伤害统计(理想)'!L51</f>
        <v>0</v>
      </c>
      <c r="M51" s="20">
        <f>'伤害统计(理想)'!M51</f>
        <v>0</v>
      </c>
      <c r="N51" s="20">
        <f>'伤害统计(理想)'!N51</f>
        <v>12</v>
      </c>
      <c r="O51" s="20" t="str">
        <f>'伤害统计(理想)'!O51</f>
        <v>空啸太玄剑·定</v>
      </c>
      <c r="P51" s="20">
        <f>'伤害统计(理想)'!P51</f>
        <v>0</v>
      </c>
      <c r="Q51" s="20">
        <f>'伤害统计(理想)'!Q51</f>
        <v>0</v>
      </c>
      <c r="R51" s="20">
        <f>'伤害统计(理想)'!R51</f>
        <v>0</v>
      </c>
      <c r="S51" s="20">
        <f>'伤害统计(理想)'!S51</f>
        <v>0</v>
      </c>
      <c r="T51" s="20">
        <f>'伤害统计(理想)'!T51</f>
        <v>0</v>
      </c>
      <c r="U51" s="20">
        <f>'伤害统计(理想)'!U51</f>
        <v>0</v>
      </c>
      <c r="V51" s="20">
        <f>'伤害统计(理想)'!V51</f>
        <v>0</v>
      </c>
      <c r="W51" s="20">
        <f>'伤害统计(理想)'!W51</f>
        <v>0</v>
      </c>
      <c r="X51" s="20">
        <f>'伤害统计(理想)'!X51</f>
        <v>0</v>
      </c>
      <c r="Y51" s="20">
        <f>'伤害统计(理想)'!Y51</f>
        <v>0</v>
      </c>
      <c r="Z51" s="20">
        <f>'伤害统计(理想)'!Z51</f>
        <v>0</v>
      </c>
      <c r="AA51" s="20">
        <f>'伤害统计(理想)'!AA51</f>
        <v>0</v>
      </c>
      <c r="AB51" s="20">
        <f>'伤害统计(理想)'!AB51</f>
        <v>0</v>
      </c>
      <c r="AC51" s="29"/>
      <c r="AE51" s="33"/>
    </row>
    <row r="52" spans="1:29">
      <c r="A52" s="20" t="str">
        <f>'伤害统计(理想)'!A52</f>
        <v>六合3</v>
      </c>
      <c r="B52" s="20">
        <f>'伤害统计(理想)'!B52</f>
        <v>6</v>
      </c>
      <c r="C52" s="20">
        <f>'伤害统计(理想)'!C52</f>
        <v>0</v>
      </c>
      <c r="D52" s="20">
        <f>'伤害统计(理想)'!D52</f>
        <v>0</v>
      </c>
      <c r="E52" s="20">
        <f>'伤害统计(理想)'!E52</f>
        <v>5</v>
      </c>
      <c r="F52" s="20">
        <f>'伤害统计(理想)'!F52</f>
        <v>0</v>
      </c>
      <c r="G52" s="20">
        <f>'伤害统计(理想)'!G52</f>
        <v>0</v>
      </c>
      <c r="H52" s="20">
        <f>'伤害统计(理想)'!H52</f>
        <v>0</v>
      </c>
      <c r="I52" s="20">
        <f>'伤害统计(理想)'!I52</f>
        <v>2</v>
      </c>
      <c r="J52" s="20">
        <f>'伤害统计(理想)'!J52</f>
        <v>0</v>
      </c>
      <c r="K52" s="20">
        <f>'伤害统计(理想)'!K52</f>
        <v>13</v>
      </c>
      <c r="L52" s="20">
        <f>'伤害统计(理想)'!L52</f>
        <v>0</v>
      </c>
      <c r="M52" s="20">
        <f>'伤害统计(理想)'!M52</f>
        <v>0</v>
      </c>
      <c r="N52" s="20">
        <f>'伤害统计(理想)'!N52</f>
        <v>13</v>
      </c>
      <c r="O52" s="20" t="str">
        <f>'伤害统计(理想)'!O52</f>
        <v>刃凌</v>
      </c>
      <c r="P52" s="20">
        <f>'伤害统计(理想)'!P52</f>
        <v>23</v>
      </c>
      <c r="Q52" s="20">
        <f>'伤害统计(理想)'!Q52</f>
        <v>732384</v>
      </c>
      <c r="R52" s="20">
        <f>'伤害统计(理想)'!R52</f>
        <v>0.00339102829785575</v>
      </c>
      <c r="S52" s="20">
        <f>'伤害统计(理想)'!S52</f>
        <v>0</v>
      </c>
      <c r="T52" s="20">
        <f>'伤害统计(理想)'!T52</f>
        <v>0</v>
      </c>
      <c r="U52" s="20">
        <f>'伤害统计(理想)'!U52</f>
        <v>0</v>
      </c>
      <c r="V52" s="20">
        <f>'伤害统计(理想)'!V52</f>
        <v>0</v>
      </c>
      <c r="W52" s="20">
        <f>'伤害统计(理想)'!W52</f>
        <v>0</v>
      </c>
      <c r="X52" s="20">
        <f>'伤害统计(理想)'!X52</f>
        <v>0</v>
      </c>
      <c r="Y52" s="20">
        <f>'伤害统计(理想)'!Y52</f>
        <v>0</v>
      </c>
      <c r="Z52" s="20">
        <f>'伤害统计(理想)'!Z52</f>
        <v>0</v>
      </c>
      <c r="AA52" s="20">
        <f>'伤害统计(理想)'!AA52</f>
        <v>0</v>
      </c>
      <c r="AB52" s="20">
        <f>'伤害统计(理想)'!AB52</f>
        <v>0</v>
      </c>
      <c r="AC52" s="29"/>
    </row>
    <row r="53" spans="1:31">
      <c r="A53" s="20" t="str">
        <f>'伤害统计(理想)'!A53</f>
        <v>六合4</v>
      </c>
      <c r="B53" s="20">
        <f>'伤害统计(理想)'!B53</f>
        <v>6</v>
      </c>
      <c r="C53" s="20">
        <f>'伤害统计(理想)'!C53</f>
        <v>0</v>
      </c>
      <c r="D53" s="20">
        <f>'伤害统计(理想)'!D53</f>
        <v>0</v>
      </c>
      <c r="E53" s="20">
        <f>'伤害统计(理想)'!E53</f>
        <v>5</v>
      </c>
      <c r="F53" s="20">
        <f>'伤害统计(理想)'!F53</f>
        <v>0</v>
      </c>
      <c r="G53" s="20">
        <f>'伤害统计(理想)'!G53</f>
        <v>0</v>
      </c>
      <c r="H53" s="20">
        <f>'伤害统计(理想)'!H53</f>
        <v>0</v>
      </c>
      <c r="I53" s="20">
        <f>'伤害统计(理想)'!I53</f>
        <v>2</v>
      </c>
      <c r="J53" s="20">
        <f>'伤害统计(理想)'!J53</f>
        <v>0</v>
      </c>
      <c r="K53" s="20">
        <f>'伤害统计(理想)'!K53</f>
        <v>13</v>
      </c>
      <c r="L53" s="20">
        <f>'伤害统计(理想)'!L53</f>
        <v>0</v>
      </c>
      <c r="M53" s="20">
        <f>'伤害统计(理想)'!M53</f>
        <v>0</v>
      </c>
      <c r="N53" s="20">
        <f>'伤害统计(理想)'!N53</f>
        <v>14</v>
      </c>
      <c r="O53" s="20" t="str">
        <f>'伤害统计(理想)'!O53</f>
        <v>五方行尽</v>
      </c>
      <c r="P53" s="20">
        <f>'伤害统计(理想)'!P53</f>
        <v>7</v>
      </c>
      <c r="Q53" s="20">
        <f>'伤害统计(理想)'!Q53</f>
        <v>370682</v>
      </c>
      <c r="R53" s="20">
        <f>'伤害统计(理想)'!R53</f>
        <v>0.00171630340300411</v>
      </c>
      <c r="S53" s="20">
        <f>'伤害统计(理想)'!S53</f>
        <v>0</v>
      </c>
      <c r="T53" s="20">
        <f>'伤害统计(理想)'!T53</f>
        <v>0</v>
      </c>
      <c r="U53" s="20">
        <f>'伤害统计(理想)'!U53</f>
        <v>0</v>
      </c>
      <c r="V53" s="20">
        <f>'伤害统计(理想)'!V53</f>
        <v>0</v>
      </c>
      <c r="W53" s="20">
        <f>'伤害统计(理想)'!W53</f>
        <v>0</v>
      </c>
      <c r="X53" s="20">
        <f>'伤害统计(理想)'!X53</f>
        <v>0</v>
      </c>
      <c r="Y53" s="20">
        <f>'伤害统计(理想)'!Y53</f>
        <v>0</v>
      </c>
      <c r="Z53" s="20">
        <f>'伤害统计(理想)'!Z53</f>
        <v>0</v>
      </c>
      <c r="AA53" s="20">
        <f>'伤害统计(理想)'!AA53</f>
        <v>0</v>
      </c>
      <c r="AB53" s="20">
        <f>'伤害统计(理想)'!AB53</f>
        <v>0</v>
      </c>
      <c r="AC53" s="29"/>
      <c r="AE53" s="33"/>
    </row>
    <row r="54" spans="1:29">
      <c r="A54" s="20" t="str">
        <f>'伤害统计(理想)'!A54</f>
        <v>六合5</v>
      </c>
      <c r="B54" s="20">
        <f>'伤害统计(理想)'!B54</f>
        <v>6</v>
      </c>
      <c r="C54" s="20">
        <f>'伤害统计(理想)'!C54</f>
        <v>0</v>
      </c>
      <c r="D54" s="20">
        <f>'伤害统计(理想)'!D54</f>
        <v>0</v>
      </c>
      <c r="E54" s="20">
        <f>'伤害统计(理想)'!E54</f>
        <v>5</v>
      </c>
      <c r="F54" s="20">
        <f>'伤害统计(理想)'!F54</f>
        <v>0</v>
      </c>
      <c r="G54" s="20">
        <f>'伤害统计(理想)'!G54</f>
        <v>0</v>
      </c>
      <c r="H54" s="20">
        <f>'伤害统计(理想)'!H54</f>
        <v>0</v>
      </c>
      <c r="I54" s="20">
        <f>'伤害统计(理想)'!I54</f>
        <v>2</v>
      </c>
      <c r="J54" s="20">
        <f>'伤害统计(理想)'!J54</f>
        <v>0</v>
      </c>
      <c r="K54" s="20">
        <f>'伤害统计(理想)'!K54</f>
        <v>13</v>
      </c>
      <c r="L54" s="20">
        <f>'伤害统计(理想)'!L54</f>
        <v>0</v>
      </c>
      <c r="M54" s="20">
        <f>'伤害统计(理想)'!M54</f>
        <v>0</v>
      </c>
      <c r="N54" s="20">
        <f>'伤害统计(理想)'!N54</f>
        <v>15</v>
      </c>
      <c r="O54" s="20" t="str">
        <f>'伤害统计(理想)'!O54</f>
        <v>三才化生</v>
      </c>
      <c r="P54" s="20">
        <f>'伤害统计(理想)'!P54</f>
        <v>14</v>
      </c>
      <c r="Q54" s="20">
        <f>'伤害统计(理想)'!Q54</f>
        <v>110917</v>
      </c>
      <c r="R54" s="20">
        <f>'伤害统计(理想)'!R54</f>
        <v>0.000513559397410738</v>
      </c>
      <c r="S54" s="20">
        <f>'伤害统计(理想)'!S54</f>
        <v>0</v>
      </c>
      <c r="T54" s="20">
        <f>'伤害统计(理想)'!T54</f>
        <v>0</v>
      </c>
      <c r="U54" s="20">
        <f>'伤害统计(理想)'!U54</f>
        <v>0</v>
      </c>
      <c r="V54" s="20">
        <f>'伤害统计(理想)'!V54</f>
        <v>0</v>
      </c>
      <c r="W54" s="20">
        <f>'伤害统计(理想)'!W54</f>
        <v>0</v>
      </c>
      <c r="X54" s="20">
        <f>'伤害统计(理想)'!X54</f>
        <v>0</v>
      </c>
      <c r="Y54" s="20">
        <f>'伤害统计(理想)'!Y54</f>
        <v>0</v>
      </c>
      <c r="Z54" s="20">
        <f>'伤害统计(理想)'!Z54</f>
        <v>0</v>
      </c>
      <c r="AA54" s="20">
        <f>'伤害统计(理想)'!AA54</f>
        <v>0</v>
      </c>
      <c r="AB54" s="20">
        <f>'伤害统计(理想)'!AB54</f>
        <v>0</v>
      </c>
      <c r="AC54" s="29"/>
    </row>
    <row r="55" spans="1:31">
      <c r="A55" s="20" t="str">
        <f>'伤害统计(理想)'!A55</f>
        <v>破</v>
      </c>
      <c r="B55" s="20">
        <f>'伤害统计(理想)'!B55</f>
        <v>54</v>
      </c>
      <c r="C55" s="20">
        <f>'伤害统计(理想)'!C55</f>
        <v>0</v>
      </c>
      <c r="D55" s="20">
        <f>'伤害统计(理想)'!D55</f>
        <v>5</v>
      </c>
      <c r="E55" s="20">
        <f>'伤害统计(理想)'!E55</f>
        <v>15</v>
      </c>
      <c r="F55" s="20">
        <f>'伤害统计(理想)'!F55</f>
        <v>2</v>
      </c>
      <c r="G55" s="20">
        <f>'伤害统计(理想)'!G55</f>
        <v>0</v>
      </c>
      <c r="H55" s="20">
        <f>'伤害统计(理想)'!H55</f>
        <v>2</v>
      </c>
      <c r="I55" s="20">
        <f>'伤害统计(理想)'!I55</f>
        <v>6</v>
      </c>
      <c r="J55" s="20">
        <f>'伤害统计(理想)'!J55</f>
        <v>0</v>
      </c>
      <c r="K55" s="20">
        <f>'伤害统计(理想)'!K55</f>
        <v>84</v>
      </c>
      <c r="L55" s="20">
        <f>'伤害统计(理想)'!L55</f>
        <v>91</v>
      </c>
      <c r="M55" s="20">
        <f>'伤害统计(理想)'!M55</f>
        <v>0</v>
      </c>
      <c r="N55" s="20">
        <f>'伤害统计(理想)'!N55</f>
        <v>16</v>
      </c>
      <c r="O55" s="20" t="str">
        <f>'伤害统计(理想)'!O55</f>
        <v>气竭(DOT)</v>
      </c>
      <c r="P55" s="20">
        <f>'伤害统计(理想)'!P55</f>
        <v>0</v>
      </c>
      <c r="Q55" s="20">
        <f>'伤害统计(理想)'!Q55</f>
        <v>0</v>
      </c>
      <c r="R55" s="20">
        <f>'伤害统计(理想)'!R55</f>
        <v>0</v>
      </c>
      <c r="S55" s="20">
        <f>'伤害统计(理想)'!S55</f>
        <v>0</v>
      </c>
      <c r="T55" s="20">
        <f>'伤害统计(理想)'!T55</f>
        <v>0</v>
      </c>
      <c r="U55" s="20">
        <f>'伤害统计(理想)'!U55</f>
        <v>0</v>
      </c>
      <c r="V55" s="20">
        <f>'伤害统计(理想)'!V55</f>
        <v>0</v>
      </c>
      <c r="W55" s="20">
        <f>'伤害统计(理想)'!W55</f>
        <v>0</v>
      </c>
      <c r="X55" s="20">
        <f>'伤害统计(理想)'!X55</f>
        <v>0</v>
      </c>
      <c r="Y55" s="20">
        <f>'伤害统计(理想)'!Y55</f>
        <v>0</v>
      </c>
      <c r="Z55" s="20">
        <f>'伤害统计(理想)'!Z55</f>
        <v>0</v>
      </c>
      <c r="AA55" s="20">
        <f>'伤害统计(理想)'!AA55</f>
        <v>0</v>
      </c>
      <c r="AB55" s="20">
        <f>'伤害统计(理想)'!AB55</f>
        <v>0</v>
      </c>
      <c r="AC55" s="29"/>
      <c r="AE55" s="33"/>
    </row>
    <row r="56" spans="1:29">
      <c r="A56" s="20" t="str">
        <f>'伤害统计(理想)'!A56</f>
        <v>破(4</v>
      </c>
      <c r="B56" s="20">
        <f>'伤害统计(理想)'!B56</f>
        <v>0</v>
      </c>
      <c r="C56" s="20">
        <f>'伤害统计(理想)'!C56</f>
        <v>0</v>
      </c>
      <c r="D56" s="20">
        <f>'伤害统计(理想)'!D56</f>
        <v>0</v>
      </c>
      <c r="E56" s="20">
        <f>'伤害统计(理想)'!E56</f>
        <v>0</v>
      </c>
      <c r="F56" s="20">
        <f>'伤害统计(理想)'!F56</f>
        <v>0</v>
      </c>
      <c r="G56" s="20">
        <f>'伤害统计(理想)'!G56</f>
        <v>0</v>
      </c>
      <c r="H56" s="20">
        <f>'伤害统计(理想)'!H56</f>
        <v>0</v>
      </c>
      <c r="I56" s="20">
        <f>'伤害统计(理想)'!I56</f>
        <v>0</v>
      </c>
      <c r="J56" s="20">
        <f>'伤害统计(理想)'!J56</f>
        <v>0</v>
      </c>
      <c r="K56" s="20">
        <f>'伤害统计(理想)'!K56</f>
        <v>0</v>
      </c>
      <c r="L56" s="20">
        <f>'伤害统计(理想)'!L56</f>
        <v>0</v>
      </c>
      <c r="M56" s="20">
        <f>'伤害统计(理想)'!M56</f>
        <v>0</v>
      </c>
      <c r="N56" s="20">
        <f>'伤害统计(理想)'!N56</f>
        <v>17</v>
      </c>
      <c r="O56" s="20" t="str">
        <f>'伤害统计(理想)'!O56</f>
        <v>星辰</v>
      </c>
      <c r="P56" s="20">
        <f>'伤害统计(理想)'!P56</f>
        <v>0</v>
      </c>
      <c r="Q56" s="20">
        <f>'伤害统计(理想)'!Q56</f>
        <v>0</v>
      </c>
      <c r="R56" s="20">
        <f>'伤害统计(理想)'!R56</f>
        <v>0</v>
      </c>
      <c r="S56" s="20">
        <f>'伤害统计(理想)'!S56</f>
        <v>0</v>
      </c>
      <c r="T56" s="20">
        <f>'伤害统计(理想)'!T56</f>
        <v>0</v>
      </c>
      <c r="U56" s="20">
        <f>'伤害统计(理想)'!U56</f>
        <v>0</v>
      </c>
      <c r="V56" s="20">
        <f>'伤害统计(理想)'!V56</f>
        <v>0</v>
      </c>
      <c r="W56" s="20">
        <f>'伤害统计(理想)'!W56</f>
        <v>0</v>
      </c>
      <c r="X56" s="20">
        <f>'伤害统计(理想)'!X56</f>
        <v>0</v>
      </c>
      <c r="Y56" s="20">
        <f>'伤害统计(理想)'!Y56</f>
        <v>0</v>
      </c>
      <c r="Z56" s="20">
        <f>'伤害统计(理想)'!Z56</f>
        <v>0</v>
      </c>
      <c r="AA56" s="20">
        <f>'伤害统计(理想)'!AA56</f>
        <v>0</v>
      </c>
      <c r="AB56" s="20">
        <f>'伤害统计(理想)'!AB56</f>
        <v>0</v>
      </c>
      <c r="AC56" s="29"/>
    </row>
    <row r="57" spans="1:29">
      <c r="A57" s="20" t="str">
        <f>'伤害统计(理想)'!A57</f>
        <v>破(万世二段</v>
      </c>
      <c r="B57" s="20">
        <f>'伤害统计(理想)'!B57</f>
        <v>7</v>
      </c>
      <c r="C57" s="20">
        <f>'伤害统计(理想)'!C57</f>
        <v>0</v>
      </c>
      <c r="D57" s="20">
        <f>'伤害统计(理想)'!D57</f>
        <v>0</v>
      </c>
      <c r="E57" s="20">
        <f>'伤害统计(理想)'!E57</f>
        <v>0</v>
      </c>
      <c r="F57" s="20">
        <f>'伤害统计(理想)'!F57</f>
        <v>0</v>
      </c>
      <c r="G57" s="20">
        <f>'伤害统计(理想)'!G57</f>
        <v>0</v>
      </c>
      <c r="H57" s="20">
        <f>'伤害统计(理想)'!H57</f>
        <v>0</v>
      </c>
      <c r="I57" s="20">
        <f>'伤害统计(理想)'!I57</f>
        <v>0</v>
      </c>
      <c r="J57" s="20">
        <f>'伤害统计(理想)'!J57</f>
        <v>0</v>
      </c>
      <c r="K57" s="20">
        <f>'伤害统计(理想)'!K57</f>
        <v>7</v>
      </c>
      <c r="L57" s="20">
        <f>'伤害统计(理想)'!L57</f>
        <v>0</v>
      </c>
      <c r="M57" s="20">
        <f>'伤害统计(理想)'!M57</f>
        <v>0</v>
      </c>
      <c r="N57" s="20">
        <f>'伤害统计(理想)'!N57</f>
        <v>18</v>
      </c>
      <c r="O57" s="20" t="str">
        <f>'伤害统计(理想)'!O57</f>
        <v>四象轮回·神兵</v>
      </c>
      <c r="P57" s="20">
        <f>'伤害统计(理想)'!P57</f>
        <v>0</v>
      </c>
      <c r="Q57" s="20">
        <f>'伤害统计(理想)'!Q57</f>
        <v>0</v>
      </c>
      <c r="R57" s="20">
        <f>'伤害统计(理想)'!R57</f>
        <v>0</v>
      </c>
      <c r="S57" s="20">
        <f>'伤害统计(理想)'!S57</f>
        <v>0</v>
      </c>
      <c r="T57" s="20">
        <f>'伤害统计(理想)'!T57</f>
        <v>0</v>
      </c>
      <c r="U57" s="20">
        <f>'伤害统计(理想)'!U57</f>
        <v>0</v>
      </c>
      <c r="V57" s="20">
        <f>'伤害统计(理想)'!V57</f>
        <v>0</v>
      </c>
      <c r="W57" s="20">
        <f>'伤害统计(理想)'!W57</f>
        <v>0</v>
      </c>
      <c r="X57" s="20">
        <f>'伤害统计(理想)'!X57</f>
        <v>0</v>
      </c>
      <c r="Y57" s="20">
        <f>'伤害统计(理想)'!Y57</f>
        <v>0</v>
      </c>
      <c r="Z57" s="20">
        <f>'伤害统计(理想)'!Z57</f>
        <v>0</v>
      </c>
      <c r="AA57" s="20">
        <f>'伤害统计(理想)'!AA57</f>
        <v>0</v>
      </c>
      <c r="AB57" s="20">
        <f>'伤害统计(理想)'!AB57</f>
        <v>0</v>
      </c>
      <c r="AC57" s="29"/>
    </row>
    <row r="58" spans="1:29">
      <c r="A58" s="20" t="str">
        <f>'伤害统计(理想)'!A58</f>
        <v>三才化生</v>
      </c>
      <c r="B58" s="20">
        <f>'伤害统计(理想)'!B58</f>
        <v>14</v>
      </c>
      <c r="C58" s="20">
        <f>'伤害统计(理想)'!C58</f>
        <v>0</v>
      </c>
      <c r="D58" s="20">
        <f>'伤害统计(理想)'!D58</f>
        <v>0</v>
      </c>
      <c r="E58" s="20">
        <f>'伤害统计(理想)'!E58</f>
        <v>0</v>
      </c>
      <c r="F58" s="20">
        <f>'伤害统计(理想)'!F58</f>
        <v>0</v>
      </c>
      <c r="G58" s="20">
        <f>'伤害统计(理想)'!G58</f>
        <v>0</v>
      </c>
      <c r="H58" s="20">
        <f>'伤害统计(理想)'!H58</f>
        <v>0</v>
      </c>
      <c r="I58" s="20">
        <f>'伤害统计(理想)'!I58</f>
        <v>0</v>
      </c>
      <c r="J58" s="20">
        <f>'伤害统计(理想)'!J58</f>
        <v>0</v>
      </c>
      <c r="K58" s="20">
        <f>'伤害统计(理想)'!K58</f>
        <v>14</v>
      </c>
      <c r="L58" s="20">
        <f>'伤害统计(理想)'!L58</f>
        <v>14</v>
      </c>
      <c r="M58" s="20">
        <f>'伤害统计(理想)'!M58</f>
        <v>0</v>
      </c>
      <c r="N58" s="20">
        <f>'伤害统计(理想)'!N58</f>
        <v>0</v>
      </c>
      <c r="O58" s="20">
        <f>'伤害统计(理想)'!O58</f>
        <v>0</v>
      </c>
      <c r="P58" s="20">
        <f>'伤害统计(理想)'!P58</f>
        <v>0</v>
      </c>
      <c r="Q58" s="20">
        <f>'伤害统计(理想)'!Q58</f>
        <v>0</v>
      </c>
      <c r="R58" s="20">
        <f>'伤害统计(理想)'!R58</f>
        <v>0</v>
      </c>
      <c r="S58" s="20">
        <f>'伤害统计(理想)'!S58</f>
        <v>0</v>
      </c>
      <c r="T58" s="20">
        <f>'伤害统计(理想)'!T58</f>
        <v>0</v>
      </c>
      <c r="U58" s="20">
        <f>'伤害统计(理想)'!U58</f>
        <v>0</v>
      </c>
      <c r="V58" s="20">
        <f>'伤害统计(理想)'!V58</f>
        <v>0</v>
      </c>
      <c r="W58" s="20">
        <f>'伤害统计(理想)'!W58</f>
        <v>0</v>
      </c>
      <c r="X58" s="20">
        <f>'伤害统计(理想)'!X58</f>
        <v>0</v>
      </c>
      <c r="Y58" s="20">
        <f>'伤害统计(理想)'!Y58</f>
        <v>0</v>
      </c>
      <c r="Z58" s="20">
        <f>'伤害统计(理想)'!Z58</f>
        <v>0</v>
      </c>
      <c r="AA58" s="20">
        <f>'伤害统计(理想)'!AA58</f>
        <v>0</v>
      </c>
      <c r="AB58" s="20">
        <f>'伤害统计(理想)'!AB58</f>
        <v>0</v>
      </c>
      <c r="AC58" s="29"/>
    </row>
    <row r="59" spans="1:28">
      <c r="A59" s="20" t="str">
        <f>'伤害统计(理想)'!A59</f>
        <v>厚亡</v>
      </c>
      <c r="B59" s="20">
        <f>'伤害统计(理想)'!B59</f>
        <v>0</v>
      </c>
      <c r="C59" s="20">
        <f>'伤害统计(理想)'!C59</f>
        <v>0</v>
      </c>
      <c r="D59" s="20">
        <f>'伤害统计(理想)'!D59</f>
        <v>0</v>
      </c>
      <c r="E59" s="20">
        <f>'伤害统计(理想)'!E59</f>
        <v>0</v>
      </c>
      <c r="F59" s="20">
        <f>'伤害统计(理想)'!F59</f>
        <v>0</v>
      </c>
      <c r="G59" s="20">
        <f>'伤害统计(理想)'!G59</f>
        <v>0</v>
      </c>
      <c r="H59" s="20">
        <f>'伤害统计(理想)'!H59</f>
        <v>0</v>
      </c>
      <c r="I59" s="20">
        <f>'伤害统计(理想)'!I59</f>
        <v>0</v>
      </c>
      <c r="J59" s="20">
        <f>'伤害统计(理想)'!J59</f>
        <v>0</v>
      </c>
      <c r="K59" s="20">
        <f>'伤害统计(理想)'!K59</f>
        <v>0</v>
      </c>
      <c r="L59" s="20">
        <f>'伤害统计(理想)'!L59</f>
        <v>0</v>
      </c>
      <c r="M59" s="20">
        <f>'伤害统计(理想)'!M59</f>
        <v>0</v>
      </c>
      <c r="N59" s="20">
        <f>'伤害统计(理想)'!N59</f>
        <v>0</v>
      </c>
      <c r="O59" s="20">
        <f>'伤害统计(理想)'!O59</f>
        <v>0</v>
      </c>
      <c r="P59" s="20">
        <f>'伤害统计(理想)'!P59</f>
        <v>0</v>
      </c>
      <c r="Q59" s="20">
        <f>'伤害统计(理想)'!Q59</f>
        <v>0</v>
      </c>
      <c r="R59" s="20">
        <f>'伤害统计(理想)'!R59</f>
        <v>0</v>
      </c>
      <c r="S59" s="20">
        <f>'伤害统计(理想)'!S59</f>
        <v>0</v>
      </c>
      <c r="T59" s="20">
        <f>'伤害统计(理想)'!T59</f>
        <v>0</v>
      </c>
      <c r="U59" s="20">
        <f>'伤害统计(理想)'!U59</f>
        <v>0</v>
      </c>
      <c r="V59" s="20">
        <f>'伤害统计(理想)'!V59</f>
        <v>0</v>
      </c>
      <c r="W59" s="20">
        <f>'伤害统计(理想)'!W59</f>
        <v>0</v>
      </c>
      <c r="X59" s="20">
        <f>'伤害统计(理想)'!X59</f>
        <v>0</v>
      </c>
      <c r="Y59" s="20">
        <f>'伤害统计(理想)'!Y59</f>
        <v>0</v>
      </c>
      <c r="Z59" s="20">
        <f>'伤害统计(理想)'!Z59</f>
        <v>0</v>
      </c>
      <c r="AA59" s="20">
        <f>'伤害统计(理想)'!AA59</f>
        <v>0</v>
      </c>
      <c r="AB59" s="20">
        <f>'伤害统计(理想)'!AB59</f>
        <v>0</v>
      </c>
    </row>
    <row r="60" spans="1:28">
      <c r="A60" s="20" t="str">
        <f>'伤害统计(理想)'!A60</f>
        <v>刃凌</v>
      </c>
      <c r="B60" s="20">
        <f>'伤害统计(理想)'!B60</f>
        <v>16</v>
      </c>
      <c r="C60" s="20">
        <f>'伤害统计(理想)'!C60</f>
        <v>0</v>
      </c>
      <c r="D60" s="20">
        <f>'伤害统计(理想)'!D60</f>
        <v>0</v>
      </c>
      <c r="E60" s="20">
        <f>'伤害统计(理想)'!E60</f>
        <v>5</v>
      </c>
      <c r="F60" s="20">
        <f>'伤害统计(理想)'!F60</f>
        <v>2</v>
      </c>
      <c r="G60" s="20">
        <f>'伤害统计(理想)'!G60</f>
        <v>0</v>
      </c>
      <c r="H60" s="20">
        <f>'伤害统计(理想)'!H60</f>
        <v>0</v>
      </c>
      <c r="I60" s="20">
        <f>'伤害统计(理想)'!I60</f>
        <v>0</v>
      </c>
      <c r="J60" s="20">
        <f>'伤害统计(理想)'!J60</f>
        <v>0</v>
      </c>
      <c r="K60" s="20">
        <f>'伤害统计(理想)'!K60</f>
        <v>23</v>
      </c>
      <c r="L60" s="20">
        <f>'伤害统计(理想)'!L60</f>
        <v>23</v>
      </c>
      <c r="M60" s="20">
        <f>'伤害统计(理想)'!M60</f>
        <v>0</v>
      </c>
      <c r="N60" s="20">
        <f>'伤害统计(理想)'!N60</f>
        <v>0</v>
      </c>
      <c r="O60" s="20">
        <f>'伤害统计(理想)'!O60</f>
        <v>0</v>
      </c>
      <c r="P60" s="20">
        <f>'伤害统计(理想)'!P60</f>
        <v>0</v>
      </c>
      <c r="Q60" s="20">
        <f>'伤害统计(理想)'!Q60</f>
        <v>0</v>
      </c>
      <c r="R60" s="20">
        <f>'伤害统计(理想)'!R60</f>
        <v>0</v>
      </c>
      <c r="S60" s="20">
        <f>'伤害统计(理想)'!S60</f>
        <v>0</v>
      </c>
      <c r="T60" s="20">
        <f>'伤害统计(理想)'!T60</f>
        <v>0</v>
      </c>
      <c r="U60" s="20">
        <f>'伤害统计(理想)'!U60</f>
        <v>0</v>
      </c>
      <c r="V60" s="20">
        <f>'伤害统计(理想)'!V60</f>
        <v>0</v>
      </c>
      <c r="W60" s="20">
        <f>'伤害统计(理想)'!W60</f>
        <v>0</v>
      </c>
      <c r="X60" s="20">
        <f>'伤害统计(理想)'!X60</f>
        <v>0</v>
      </c>
      <c r="Y60" s="20">
        <f>'伤害统计(理想)'!Y60</f>
        <v>0</v>
      </c>
      <c r="Z60" s="20">
        <f>'伤害统计(理想)'!Z60</f>
        <v>0</v>
      </c>
      <c r="AA60" s="20">
        <f>'伤害统计(理想)'!AA60</f>
        <v>0</v>
      </c>
      <c r="AB60" s="20">
        <f>'伤害统计(理想)'!AB60</f>
        <v>0</v>
      </c>
    </row>
    <row r="61" spans="1:28">
      <c r="A61" s="20" t="str">
        <f>'伤害统计(理想)'!A61</f>
        <v>昆吾·弦刃</v>
      </c>
      <c r="B61" s="20">
        <f>'伤害统计(理想)'!B61</f>
        <v>14</v>
      </c>
      <c r="C61" s="20">
        <f>'伤害统计(理想)'!C61</f>
        <v>0</v>
      </c>
      <c r="D61" s="20">
        <f>'伤害统计(理想)'!D61</f>
        <v>0</v>
      </c>
      <c r="E61" s="20">
        <f>'伤害统计(理想)'!E61</f>
        <v>2</v>
      </c>
      <c r="F61" s="20">
        <f>'伤害统计(理想)'!F61</f>
        <v>0</v>
      </c>
      <c r="G61" s="20">
        <f>'伤害统计(理想)'!G61</f>
        <v>0</v>
      </c>
      <c r="H61" s="20">
        <f>'伤害统计(理想)'!H61</f>
        <v>0</v>
      </c>
      <c r="I61" s="20">
        <f>'伤害统计(理想)'!I61</f>
        <v>0</v>
      </c>
      <c r="J61" s="20">
        <f>'伤害统计(理想)'!J61</f>
        <v>0</v>
      </c>
      <c r="K61" s="20">
        <f>'伤害统计(理想)'!K61</f>
        <v>16</v>
      </c>
      <c r="L61" s="20">
        <f>'伤害统计(理想)'!L61</f>
        <v>16</v>
      </c>
      <c r="M61" s="20">
        <f>'伤害统计(理想)'!M61</f>
        <v>0</v>
      </c>
      <c r="N61" s="20">
        <f>'伤害统计(理想)'!N61</f>
        <v>0</v>
      </c>
      <c r="O61" s="20">
        <f>'伤害统计(理想)'!O61</f>
        <v>0</v>
      </c>
      <c r="P61" s="20">
        <f>'伤害统计(理想)'!P61</f>
        <v>0</v>
      </c>
      <c r="Q61" s="20">
        <f>'伤害统计(理想)'!Q61</f>
        <v>0</v>
      </c>
      <c r="R61" s="20">
        <f>'伤害统计(理想)'!R61</f>
        <v>0</v>
      </c>
      <c r="S61" s="20">
        <f>'伤害统计(理想)'!S61</f>
        <v>0</v>
      </c>
      <c r="T61" s="20">
        <f>'伤害统计(理想)'!T61</f>
        <v>0</v>
      </c>
      <c r="U61" s="20">
        <f>'伤害统计(理想)'!U61</f>
        <v>0</v>
      </c>
      <c r="V61" s="20">
        <f>'伤害统计(理想)'!V61</f>
        <v>0</v>
      </c>
      <c r="W61" s="20">
        <f>'伤害统计(理想)'!W61</f>
        <v>0</v>
      </c>
      <c r="X61" s="20">
        <f>'伤害统计(理想)'!X61</f>
        <v>0</v>
      </c>
      <c r="Y61" s="20">
        <f>'伤害统计(理想)'!Y61</f>
        <v>0</v>
      </c>
      <c r="Z61" s="20">
        <f>'伤害统计(理想)'!Z61</f>
        <v>0</v>
      </c>
      <c r="AA61" s="20">
        <f>'伤害统计(理想)'!AA61</f>
        <v>0</v>
      </c>
      <c r="AB61" s="20">
        <f>'伤害统计(理想)'!AB61</f>
        <v>0</v>
      </c>
    </row>
    <row r="62" spans="1:35">
      <c r="A62" s="20" t="str">
        <f>'伤害统计(理想)'!A62</f>
        <v>腾空·三才</v>
      </c>
      <c r="B62" s="20">
        <f>'伤害统计(理想)'!B62</f>
        <v>0</v>
      </c>
      <c r="C62" s="20">
        <f>'伤害统计(理想)'!C62</f>
        <v>0</v>
      </c>
      <c r="D62" s="20">
        <f>'伤害统计(理想)'!D62</f>
        <v>0</v>
      </c>
      <c r="E62" s="20">
        <f>'伤害统计(理想)'!E62</f>
        <v>0</v>
      </c>
      <c r="F62" s="20">
        <f>'伤害统计(理想)'!F62</f>
        <v>0</v>
      </c>
      <c r="G62" s="20">
        <f>'伤害统计(理想)'!G62</f>
        <v>0</v>
      </c>
      <c r="H62" s="20">
        <f>'伤害统计(理想)'!H62</f>
        <v>0</v>
      </c>
      <c r="I62" s="20">
        <f>'伤害统计(理想)'!I62</f>
        <v>0</v>
      </c>
      <c r="J62" s="20">
        <f>'伤害统计(理想)'!J62</f>
        <v>0</v>
      </c>
      <c r="K62" s="20">
        <f>'伤害统计(理想)'!K62</f>
        <v>0</v>
      </c>
      <c r="L62" s="20">
        <f>'伤害统计(理想)'!L62</f>
        <v>0</v>
      </c>
      <c r="M62" s="20">
        <f>'伤害统计(理想)'!M62</f>
        <v>0</v>
      </c>
      <c r="N62" s="20">
        <f>'伤害统计(理想)'!N62</f>
        <v>0</v>
      </c>
      <c r="O62" s="20">
        <f>'伤害统计(理想)'!O62</f>
        <v>0</v>
      </c>
      <c r="P62" s="20">
        <f>'伤害统计(理想)'!P62</f>
        <v>0</v>
      </c>
      <c r="Q62" s="20">
        <f>'伤害统计(理想)'!Q62</f>
        <v>0</v>
      </c>
      <c r="R62" s="20">
        <f>'伤害统计(理想)'!R62</f>
        <v>0</v>
      </c>
      <c r="S62" s="20">
        <f>'伤害统计(理想)'!S62</f>
        <v>0</v>
      </c>
      <c r="T62" s="20">
        <f>'伤害统计(理想)'!T62</f>
        <v>0</v>
      </c>
      <c r="U62" s="20">
        <f>'伤害统计(理想)'!U62</f>
        <v>0</v>
      </c>
      <c r="V62" s="20">
        <f>'伤害统计(理想)'!V62</f>
        <v>0</v>
      </c>
      <c r="W62" s="20">
        <f>'伤害统计(理想)'!W62</f>
        <v>0</v>
      </c>
      <c r="X62" s="20">
        <f>'伤害统计(理想)'!X62</f>
        <v>0</v>
      </c>
      <c r="Y62" s="20">
        <f>'伤害统计(理想)'!Y62</f>
        <v>0</v>
      </c>
      <c r="Z62" s="20">
        <f>'伤害统计(理想)'!Z62</f>
        <v>0</v>
      </c>
      <c r="AA62" s="20">
        <f>'伤害统计(理想)'!AA62</f>
        <v>0</v>
      </c>
      <c r="AB62" s="20">
        <f>'伤害统计(理想)'!AB62</f>
        <v>0</v>
      </c>
      <c r="AH62" s="33"/>
      <c r="AI62" s="33"/>
    </row>
    <row r="63" spans="1:28">
      <c r="A63" s="20" t="str">
        <f>'伤害统计(理想)'!A63</f>
        <v>腾空·凭虚</v>
      </c>
      <c r="B63" s="20">
        <f>'伤害统计(理想)'!B63</f>
        <v>0</v>
      </c>
      <c r="C63" s="20">
        <f>'伤害统计(理想)'!C63</f>
        <v>0</v>
      </c>
      <c r="D63" s="20">
        <f>'伤害统计(理想)'!D63</f>
        <v>0</v>
      </c>
      <c r="E63" s="20">
        <f>'伤害统计(理想)'!E63</f>
        <v>0</v>
      </c>
      <c r="F63" s="20">
        <f>'伤害统计(理想)'!F63</f>
        <v>0</v>
      </c>
      <c r="G63" s="20">
        <f>'伤害统计(理想)'!G63</f>
        <v>0</v>
      </c>
      <c r="H63" s="20">
        <f>'伤害统计(理想)'!H63</f>
        <v>0</v>
      </c>
      <c r="I63" s="20">
        <f>'伤害统计(理想)'!I63</f>
        <v>0</v>
      </c>
      <c r="J63" s="20">
        <f>'伤害统计(理想)'!J63</f>
        <v>0</v>
      </c>
      <c r="K63" s="20">
        <f>'伤害统计(理想)'!K63</f>
        <v>0</v>
      </c>
      <c r="L63" s="20">
        <f>'伤害统计(理想)'!L63</f>
        <v>0</v>
      </c>
      <c r="M63" s="20">
        <f>'伤害统计(理想)'!M63</f>
        <v>0</v>
      </c>
      <c r="N63" s="20">
        <f>'伤害统计(理想)'!N63</f>
        <v>0</v>
      </c>
      <c r="O63" s="20">
        <f>'伤害统计(理想)'!O63</f>
        <v>0</v>
      </c>
      <c r="P63" s="20">
        <f>'伤害统计(理想)'!P63</f>
        <v>0</v>
      </c>
      <c r="Q63" s="20">
        <f>'伤害统计(理想)'!Q63</f>
        <v>0</v>
      </c>
      <c r="R63" s="20">
        <f>'伤害统计(理想)'!R63</f>
        <v>0</v>
      </c>
      <c r="S63" s="20">
        <f>'伤害统计(理想)'!S63</f>
        <v>0</v>
      </c>
      <c r="T63" s="20">
        <f>'伤害统计(理想)'!T63</f>
        <v>0</v>
      </c>
      <c r="U63" s="20">
        <f>'伤害统计(理想)'!U63</f>
        <v>0</v>
      </c>
      <c r="V63" s="20">
        <f>'伤害统计(理想)'!V63</f>
        <v>0</v>
      </c>
      <c r="W63" s="20">
        <f>'伤害统计(理想)'!W63</f>
        <v>0</v>
      </c>
      <c r="X63" s="20">
        <f>'伤害统计(理想)'!X63</f>
        <v>0</v>
      </c>
      <c r="Y63" s="20">
        <f>'伤害统计(理想)'!Y63</f>
        <v>0</v>
      </c>
      <c r="Z63" s="20">
        <f>'伤害统计(理想)'!Z63</f>
        <v>0</v>
      </c>
      <c r="AA63" s="20">
        <f>'伤害统计(理想)'!AA63</f>
        <v>0</v>
      </c>
      <c r="AB63" s="20">
        <f>'伤害统计(理想)'!AB63</f>
        <v>0</v>
      </c>
    </row>
    <row r="64" spans="1:33">
      <c r="A64" s="20" t="str">
        <f>'伤害统计(理想)'!A64</f>
        <v>腾空·凭虚·定</v>
      </c>
      <c r="B64" s="20">
        <f>'伤害统计(理想)'!B64</f>
        <v>0</v>
      </c>
      <c r="C64" s="20">
        <f>'伤害统计(理想)'!C64</f>
        <v>0</v>
      </c>
      <c r="D64" s="20">
        <f>'伤害统计(理想)'!D64</f>
        <v>0</v>
      </c>
      <c r="E64" s="20">
        <f>'伤害统计(理想)'!E64</f>
        <v>0</v>
      </c>
      <c r="F64" s="20">
        <f>'伤害统计(理想)'!F64</f>
        <v>0</v>
      </c>
      <c r="G64" s="20">
        <f>'伤害统计(理想)'!G64</f>
        <v>0</v>
      </c>
      <c r="H64" s="20">
        <f>'伤害统计(理想)'!H64</f>
        <v>0</v>
      </c>
      <c r="I64" s="20">
        <f>'伤害统计(理想)'!I64</f>
        <v>0</v>
      </c>
      <c r="J64" s="20">
        <f>'伤害统计(理想)'!J64</f>
        <v>0</v>
      </c>
      <c r="K64" s="20">
        <f>'伤害统计(理想)'!K64</f>
        <v>0</v>
      </c>
      <c r="L64" s="20">
        <f>'伤害统计(理想)'!L64</f>
        <v>0</v>
      </c>
      <c r="M64" s="20">
        <f>'伤害统计(理想)'!M64</f>
        <v>0</v>
      </c>
      <c r="N64" s="20">
        <f>'伤害统计(理想)'!N64</f>
        <v>0</v>
      </c>
      <c r="O64" s="20">
        <f>'伤害统计(理想)'!O64</f>
        <v>0</v>
      </c>
      <c r="P64" s="20">
        <f>'伤害统计(理想)'!P64</f>
        <v>0</v>
      </c>
      <c r="Q64" s="20">
        <f>'伤害统计(理想)'!Q64</f>
        <v>0</v>
      </c>
      <c r="R64" s="20">
        <f>'伤害统计(理想)'!R64</f>
        <v>0</v>
      </c>
      <c r="S64" s="20">
        <f>'伤害统计(理想)'!S64</f>
        <v>0</v>
      </c>
      <c r="T64" s="20">
        <f>'伤害统计(理想)'!T64</f>
        <v>0</v>
      </c>
      <c r="U64" s="20">
        <f>'伤害统计(理想)'!U64</f>
        <v>0</v>
      </c>
      <c r="V64" s="20">
        <f>'伤害统计(理想)'!V64</f>
        <v>0</v>
      </c>
      <c r="W64" s="20">
        <f>'伤害统计(理想)'!W64</f>
        <v>0</v>
      </c>
      <c r="X64" s="20">
        <f>'伤害统计(理想)'!X64</f>
        <v>0</v>
      </c>
      <c r="Y64" s="20">
        <f>'伤害统计(理想)'!Y64</f>
        <v>0</v>
      </c>
      <c r="Z64" s="20">
        <f>'伤害统计(理想)'!Z64</f>
        <v>0</v>
      </c>
      <c r="AA64" s="20">
        <f>'伤害统计(理想)'!AA64</f>
        <v>0</v>
      </c>
      <c r="AB64" s="20">
        <f>'伤害统计(理想)'!AB64</f>
        <v>0</v>
      </c>
      <c r="AG64" s="33"/>
    </row>
    <row r="65" spans="1:28">
      <c r="A65" s="20" t="str">
        <f>'伤害统计(理想)'!A65</f>
        <v>气竭(DOT)</v>
      </c>
      <c r="B65" s="20">
        <f>'伤害统计(理想)'!B65</f>
        <v>0</v>
      </c>
      <c r="C65" s="20">
        <f>'伤害统计(理想)'!C65</f>
        <v>0</v>
      </c>
      <c r="D65" s="20">
        <f>'伤害统计(理想)'!D65</f>
        <v>0</v>
      </c>
      <c r="E65" s="20">
        <f>'伤害统计(理想)'!E65</f>
        <v>0</v>
      </c>
      <c r="F65" s="20">
        <f>'伤害统计(理想)'!F65</f>
        <v>0</v>
      </c>
      <c r="G65" s="20">
        <f>'伤害统计(理想)'!G65</f>
        <v>0</v>
      </c>
      <c r="H65" s="20">
        <f>'伤害统计(理想)'!H65</f>
        <v>0</v>
      </c>
      <c r="I65" s="20">
        <f>'伤害统计(理想)'!I65</f>
        <v>0</v>
      </c>
      <c r="J65" s="20">
        <f>'伤害统计(理想)'!J65</f>
        <v>0</v>
      </c>
      <c r="K65" s="20">
        <f>'伤害统计(理想)'!K65</f>
        <v>0</v>
      </c>
      <c r="L65" s="20">
        <f>'伤害统计(理想)'!L65</f>
        <v>0</v>
      </c>
      <c r="M65" s="20">
        <f>'伤害统计(理想)'!M65</f>
        <v>0</v>
      </c>
      <c r="N65" s="20">
        <f>'伤害统计(理想)'!N65</f>
        <v>0</v>
      </c>
      <c r="O65" s="20">
        <f>'伤害统计(理想)'!O65</f>
        <v>0</v>
      </c>
      <c r="P65" s="20">
        <f>'伤害统计(理想)'!P65</f>
        <v>0</v>
      </c>
      <c r="Q65" s="20">
        <f>'伤害统计(理想)'!Q65</f>
        <v>0</v>
      </c>
      <c r="R65" s="20">
        <f>'伤害统计(理想)'!R65</f>
        <v>0</v>
      </c>
      <c r="S65" s="20">
        <f>'伤害统计(理想)'!S65</f>
        <v>0</v>
      </c>
      <c r="T65" s="20">
        <f>'伤害统计(理想)'!T65</f>
        <v>0</v>
      </c>
      <c r="U65" s="20">
        <f>'伤害统计(理想)'!U65</f>
        <v>0</v>
      </c>
      <c r="V65" s="20">
        <f>'伤害统计(理想)'!V65</f>
        <v>0</v>
      </c>
      <c r="W65" s="20">
        <f>'伤害统计(理想)'!W65</f>
        <v>0</v>
      </c>
      <c r="X65" s="20">
        <f>'伤害统计(理想)'!X65</f>
        <v>0</v>
      </c>
      <c r="Y65" s="20">
        <f>'伤害统计(理想)'!Y65</f>
        <v>0</v>
      </c>
      <c r="Z65" s="20">
        <f>'伤害统计(理想)'!Z65</f>
        <v>0</v>
      </c>
      <c r="AA65" s="20">
        <f>'伤害统计(理想)'!AA65</f>
        <v>0</v>
      </c>
      <c r="AB65" s="20">
        <f>'伤害统计(理想)'!AB65</f>
        <v>0</v>
      </c>
    </row>
    <row r="66" spans="1:28">
      <c r="A66" s="20" t="str">
        <f>'伤害统计(理想)'!A66</f>
        <v>星辰</v>
      </c>
      <c r="B66" s="20">
        <f>'伤害统计(理想)'!B66</f>
        <v>0</v>
      </c>
      <c r="C66" s="20">
        <f>'伤害统计(理想)'!C66</f>
        <v>0</v>
      </c>
      <c r="D66" s="20">
        <f>'伤害统计(理想)'!D66</f>
        <v>0</v>
      </c>
      <c r="E66" s="20">
        <f>'伤害统计(理想)'!E66</f>
        <v>0</v>
      </c>
      <c r="F66" s="20">
        <f>'伤害统计(理想)'!F66</f>
        <v>0</v>
      </c>
      <c r="G66" s="20">
        <f>'伤害统计(理想)'!G66</f>
        <v>0</v>
      </c>
      <c r="H66" s="20">
        <f>'伤害统计(理想)'!H66</f>
        <v>0</v>
      </c>
      <c r="I66" s="20">
        <f>'伤害统计(理想)'!I66</f>
        <v>0</v>
      </c>
      <c r="J66" s="20">
        <f>'伤害统计(理想)'!J66</f>
        <v>0</v>
      </c>
      <c r="K66" s="20">
        <f>'伤害统计(理想)'!K66</f>
        <v>0</v>
      </c>
      <c r="L66" s="20">
        <f>'伤害统计(理想)'!L66</f>
        <v>0</v>
      </c>
      <c r="M66" s="20">
        <f>'伤害统计(理想)'!M66</f>
        <v>0</v>
      </c>
      <c r="N66" s="20">
        <f>'伤害统计(理想)'!N66</f>
        <v>0</v>
      </c>
      <c r="O66" s="20">
        <f>'伤害统计(理想)'!O66</f>
        <v>0</v>
      </c>
      <c r="P66" s="20">
        <f>'伤害统计(理想)'!P66</f>
        <v>0</v>
      </c>
      <c r="Q66" s="20">
        <f>'伤害统计(理想)'!Q66</f>
        <v>0</v>
      </c>
      <c r="R66" s="20">
        <f>'伤害统计(理想)'!R66</f>
        <v>0</v>
      </c>
      <c r="S66" s="20">
        <f>'伤害统计(理想)'!S66</f>
        <v>0</v>
      </c>
      <c r="T66" s="20">
        <f>'伤害统计(理想)'!T66</f>
        <v>0</v>
      </c>
      <c r="U66" s="20">
        <f>'伤害统计(理想)'!U66</f>
        <v>0</v>
      </c>
      <c r="V66" s="20">
        <f>'伤害统计(理想)'!V66</f>
        <v>0</v>
      </c>
      <c r="W66" s="20">
        <f>'伤害统计(理想)'!W66</f>
        <v>0</v>
      </c>
      <c r="X66" s="20">
        <f>'伤害统计(理想)'!X66</f>
        <v>0</v>
      </c>
      <c r="Y66" s="20">
        <f>'伤害统计(理想)'!Y66</f>
        <v>0</v>
      </c>
      <c r="Z66" s="20">
        <f>'伤害统计(理想)'!Z66</f>
        <v>0</v>
      </c>
      <c r="AA66" s="20">
        <f>'伤害统计(理想)'!AA66</f>
        <v>0</v>
      </c>
      <c r="AB66" s="20">
        <f>'伤害统计(理想)'!AB66</f>
        <v>0</v>
      </c>
    </row>
    <row r="67" spans="1:9">
      <c r="A67" s="20" t="str">
        <f>'伤害统计(理想)'!A67</f>
        <v>四象轮回·神兵</v>
      </c>
      <c r="B67" s="20">
        <f>'伤害统计(理想)'!B67</f>
        <v>0</v>
      </c>
      <c r="C67" s="20">
        <f>'伤害统计(理想)'!C67</f>
        <v>0</v>
      </c>
      <c r="D67" s="20">
        <f>'伤害统计(理想)'!D67</f>
        <v>0</v>
      </c>
      <c r="E67" s="20">
        <f>'伤害统计(理想)'!E67</f>
        <v>0</v>
      </c>
      <c r="F67" s="20">
        <f>'伤害统计(理想)'!F67</f>
        <v>0</v>
      </c>
      <c r="G67" s="20">
        <f>'伤害统计(理想)'!G67</f>
        <v>0</v>
      </c>
      <c r="H67" s="20">
        <f>'伤害统计(理想)'!H67</f>
        <v>0</v>
      </c>
      <c r="I67" s="20">
        <f>'伤害统计(理想)'!I67</f>
        <v>0</v>
      </c>
    </row>
    <row r="69" spans="33:33">
      <c r="AG69" s="33"/>
    </row>
    <row r="70" spans="2:12">
      <c r="B70" s="20" t="s">
        <v>365</v>
      </c>
      <c r="C70" s="20" t="s">
        <v>987</v>
      </c>
      <c r="D70" s="20" t="s">
        <v>988</v>
      </c>
      <c r="E70" s="20" t="s">
        <v>989</v>
      </c>
      <c r="F70" s="20" t="s">
        <v>990</v>
      </c>
      <c r="G70" s="20" t="s">
        <v>991</v>
      </c>
      <c r="H70" s="20" t="s">
        <v>992</v>
      </c>
      <c r="I70" s="20" t="s">
        <v>993</v>
      </c>
      <c r="L70" s="20" t="s">
        <v>996</v>
      </c>
    </row>
    <row r="71" spans="1:12">
      <c r="A71" s="20" t="s">
        <v>959</v>
      </c>
      <c r="B71" s="20">
        <f t="shared" ref="B71:B100" si="13">(AC2*(1-Q2)+AF2*Q2)*B38</f>
        <v>4562383.4956</v>
      </c>
      <c r="C71" s="20">
        <f t="shared" ref="C71:C100" si="14">(AI2*(1-S2)+AJ2*S2)*C38</f>
        <v>0</v>
      </c>
      <c r="D71" s="20">
        <f t="shared" ref="D71:D100" si="15">(AD2*(1-S2)+AG2*S2)*D38</f>
        <v>0</v>
      </c>
      <c r="E71" s="20">
        <f t="shared" ref="E71:E100" si="16">(AD2*(1-S2)+AM2*S2)*E38</f>
        <v>0</v>
      </c>
      <c r="F71" s="20">
        <f t="shared" ref="F71:F100" si="17">(AE2*(1-Q2)+AH2*Q2)*F38</f>
        <v>0</v>
      </c>
      <c r="G71" s="20">
        <f t="shared" ref="G71:G100" si="18">(AK2*(1-S2)+AL2*S2)*G38</f>
        <v>0</v>
      </c>
      <c r="H71" s="20">
        <f t="shared" ref="H71:H100" si="19">(AE2*(1-S2)+AH2*S2)*H38</f>
        <v>0</v>
      </c>
      <c r="I71" s="20">
        <f t="shared" ref="I71:I100" si="20">(AE2*(1-S2)+AN2*S2)*I38</f>
        <v>0</v>
      </c>
      <c r="K71" s="20">
        <f t="shared" ref="K71:K99" si="21">INT(SUM(B71:I71))</f>
        <v>4562383</v>
      </c>
      <c r="L71" s="20">
        <f>K71</f>
        <v>4562383</v>
      </c>
    </row>
    <row r="72" spans="1:12">
      <c r="A72" s="20" t="s">
        <v>960</v>
      </c>
      <c r="B72" s="20">
        <f t="shared" si="13"/>
        <v>7560993.0528</v>
      </c>
      <c r="C72" s="20">
        <f t="shared" si="14"/>
        <v>0</v>
      </c>
      <c r="D72" s="20">
        <f t="shared" si="15"/>
        <v>676831.505</v>
      </c>
      <c r="E72" s="20">
        <f t="shared" si="16"/>
        <v>1452355.2</v>
      </c>
      <c r="F72" s="20">
        <f t="shared" si="17"/>
        <v>273641.6672</v>
      </c>
      <c r="G72" s="20">
        <f t="shared" si="18"/>
        <v>0</v>
      </c>
      <c r="H72" s="20">
        <f t="shared" si="19"/>
        <v>335615.728</v>
      </c>
      <c r="I72" s="20">
        <f t="shared" si="20"/>
        <v>627558.266</v>
      </c>
      <c r="K72" s="20">
        <f t="shared" si="21"/>
        <v>10926995</v>
      </c>
      <c r="L72" s="20">
        <f>SUM(K72:K76)</f>
        <v>68070329</v>
      </c>
    </row>
    <row r="73" spans="1:11">
      <c r="A73" s="20" t="s">
        <v>961</v>
      </c>
      <c r="B73" s="20">
        <f t="shared" si="13"/>
        <v>8490753.909</v>
      </c>
      <c r="C73" s="20">
        <f t="shared" si="14"/>
        <v>0</v>
      </c>
      <c r="D73" s="20">
        <f t="shared" si="15"/>
        <v>760048.0425</v>
      </c>
      <c r="E73" s="20">
        <f t="shared" si="16"/>
        <v>1630922.195</v>
      </c>
      <c r="F73" s="20">
        <f t="shared" si="17"/>
        <v>307283.9388</v>
      </c>
      <c r="G73" s="20">
        <f t="shared" si="18"/>
        <v>0</v>
      </c>
      <c r="H73" s="20">
        <f t="shared" si="19"/>
        <v>376877.337</v>
      </c>
      <c r="I73" s="20">
        <f t="shared" si="20"/>
        <v>704710.44</v>
      </c>
      <c r="K73" s="20">
        <f t="shared" si="21"/>
        <v>12270595</v>
      </c>
    </row>
    <row r="74" spans="1:11">
      <c r="A74" s="20" t="s">
        <v>962</v>
      </c>
      <c r="B74" s="20">
        <f t="shared" si="13"/>
        <v>9420316.884</v>
      </c>
      <c r="C74" s="20">
        <f t="shared" si="14"/>
        <v>0</v>
      </c>
      <c r="D74" s="20">
        <f t="shared" si="15"/>
        <v>843273.2975</v>
      </c>
      <c r="E74" s="20">
        <f t="shared" si="16"/>
        <v>1809514.06</v>
      </c>
      <c r="F74" s="20">
        <f t="shared" si="17"/>
        <v>340929.2092</v>
      </c>
      <c r="G74" s="20">
        <f t="shared" si="18"/>
        <v>0</v>
      </c>
      <c r="H74" s="20">
        <f t="shared" si="19"/>
        <v>418142.433</v>
      </c>
      <c r="I74" s="20">
        <f t="shared" si="20"/>
        <v>781872.562</v>
      </c>
      <c r="K74" s="20">
        <f t="shared" si="21"/>
        <v>13614048</v>
      </c>
    </row>
    <row r="75" spans="1:11">
      <c r="A75" s="20" t="s">
        <v>963</v>
      </c>
      <c r="B75" s="20">
        <f t="shared" si="13"/>
        <v>10350028.2996</v>
      </c>
      <c r="C75" s="20">
        <f t="shared" si="14"/>
        <v>0</v>
      </c>
      <c r="D75" s="20">
        <f t="shared" si="15"/>
        <v>926489.835</v>
      </c>
      <c r="E75" s="20">
        <f t="shared" si="16"/>
        <v>1988081.055</v>
      </c>
      <c r="F75" s="20">
        <f t="shared" si="17"/>
        <v>374575.4784</v>
      </c>
      <c r="G75" s="20">
        <f t="shared" si="18"/>
        <v>0</v>
      </c>
      <c r="H75" s="20">
        <f t="shared" si="19"/>
        <v>459409.016</v>
      </c>
      <c r="I75" s="20">
        <f t="shared" si="20"/>
        <v>859034.684</v>
      </c>
      <c r="K75" s="20">
        <f t="shared" si="21"/>
        <v>14957618</v>
      </c>
    </row>
    <row r="76" spans="1:11">
      <c r="A76" s="20" t="s">
        <v>964</v>
      </c>
      <c r="B76" s="20">
        <f t="shared" si="13"/>
        <v>11279640.7152</v>
      </c>
      <c r="C76" s="20">
        <f t="shared" si="14"/>
        <v>0</v>
      </c>
      <c r="D76" s="20">
        <f t="shared" si="15"/>
        <v>1009706.3725</v>
      </c>
      <c r="E76" s="20">
        <f t="shared" si="16"/>
        <v>2166648.05</v>
      </c>
      <c r="F76" s="20">
        <f t="shared" si="17"/>
        <v>408217.75</v>
      </c>
      <c r="G76" s="20">
        <f t="shared" si="18"/>
        <v>0</v>
      </c>
      <c r="H76" s="20">
        <f t="shared" si="19"/>
        <v>500670.625</v>
      </c>
      <c r="I76" s="20">
        <f t="shared" si="20"/>
        <v>936189.832</v>
      </c>
      <c r="K76" s="20">
        <f t="shared" si="21"/>
        <v>16301073</v>
      </c>
    </row>
    <row r="77" spans="1:12">
      <c r="A77" s="20" t="s">
        <v>965</v>
      </c>
      <c r="B77" s="20">
        <f t="shared" si="13"/>
        <v>2032667.4704</v>
      </c>
      <c r="C77" s="20">
        <f t="shared" si="14"/>
        <v>0</v>
      </c>
      <c r="D77" s="20">
        <f t="shared" si="15"/>
        <v>0</v>
      </c>
      <c r="E77" s="20">
        <f t="shared" si="16"/>
        <v>13699235.7</v>
      </c>
      <c r="F77" s="20">
        <f t="shared" si="17"/>
        <v>0</v>
      </c>
      <c r="G77" s="20">
        <f t="shared" si="18"/>
        <v>0</v>
      </c>
      <c r="H77" s="20">
        <f t="shared" si="19"/>
        <v>0</v>
      </c>
      <c r="I77" s="20">
        <f t="shared" si="20"/>
        <v>5919359.38</v>
      </c>
      <c r="K77" s="20">
        <f t="shared" si="21"/>
        <v>21651262</v>
      </c>
      <c r="L77" s="20">
        <f t="shared" ref="L77:L79" si="22">K77</f>
        <v>21651262</v>
      </c>
    </row>
    <row r="78" spans="1:12">
      <c r="A78" s="35" t="s">
        <v>966</v>
      </c>
      <c r="B78" s="20">
        <f t="shared" si="13"/>
        <v>371364.2814</v>
      </c>
      <c r="C78" s="20">
        <f t="shared" si="14"/>
        <v>0</v>
      </c>
      <c r="D78" s="20">
        <f t="shared" si="15"/>
        <v>0</v>
      </c>
      <c r="E78" s="20">
        <f t="shared" si="16"/>
        <v>0</v>
      </c>
      <c r="F78" s="20">
        <f t="shared" si="17"/>
        <v>0</v>
      </c>
      <c r="G78" s="20">
        <f t="shared" si="18"/>
        <v>0</v>
      </c>
      <c r="H78" s="20">
        <f t="shared" si="19"/>
        <v>0</v>
      </c>
      <c r="I78" s="20">
        <f t="shared" si="20"/>
        <v>0</v>
      </c>
      <c r="K78" s="20">
        <f t="shared" si="21"/>
        <v>371364</v>
      </c>
      <c r="L78" s="20">
        <f t="shared" si="22"/>
        <v>371364</v>
      </c>
    </row>
    <row r="79" spans="1:12">
      <c r="A79" s="20" t="s">
        <v>967</v>
      </c>
      <c r="B79" s="20">
        <f t="shared" si="13"/>
        <v>13196921.01</v>
      </c>
      <c r="C79" s="20">
        <f t="shared" si="14"/>
        <v>0</v>
      </c>
      <c r="D79" s="20">
        <f t="shared" si="15"/>
        <v>2771659.535</v>
      </c>
      <c r="E79" s="20">
        <f t="shared" si="16"/>
        <v>5971522.195</v>
      </c>
      <c r="F79" s="20">
        <f t="shared" si="17"/>
        <v>1085574.6908</v>
      </c>
      <c r="G79" s="20">
        <f t="shared" si="18"/>
        <v>0</v>
      </c>
      <c r="H79" s="20">
        <f t="shared" si="19"/>
        <v>1292347.407</v>
      </c>
      <c r="I79" s="20">
        <f t="shared" si="20"/>
        <v>2580244.242</v>
      </c>
      <c r="K79" s="20">
        <f t="shared" si="21"/>
        <v>26898269</v>
      </c>
      <c r="L79" s="20">
        <f t="shared" si="22"/>
        <v>26898269</v>
      </c>
    </row>
    <row r="80" spans="1:12">
      <c r="A80" s="20" t="s">
        <v>1001</v>
      </c>
      <c r="B80" s="20">
        <f t="shared" si="13"/>
        <v>11144821.1868</v>
      </c>
      <c r="C80" s="20">
        <f t="shared" si="14"/>
        <v>0</v>
      </c>
      <c r="D80" s="20">
        <f t="shared" si="15"/>
        <v>2332075.15</v>
      </c>
      <c r="E80" s="20">
        <f t="shared" si="16"/>
        <v>7519752.315</v>
      </c>
      <c r="F80" s="20">
        <f t="shared" si="17"/>
        <v>900418.6044</v>
      </c>
      <c r="G80" s="20">
        <f t="shared" si="18"/>
        <v>0</v>
      </c>
      <c r="H80" s="20">
        <f t="shared" si="19"/>
        <v>1084891.321</v>
      </c>
      <c r="I80" s="20">
        <f t="shared" si="20"/>
        <v>3249230.205</v>
      </c>
      <c r="K80" s="20">
        <f t="shared" si="21"/>
        <v>26231188</v>
      </c>
      <c r="L80" s="20">
        <f>SUM(K80:K82)</f>
        <v>28870820</v>
      </c>
    </row>
    <row r="81" spans="1:11">
      <c r="A81" s="20" t="s">
        <v>969</v>
      </c>
      <c r="B81" s="20">
        <f t="shared" si="13"/>
        <v>2639632.2144</v>
      </c>
      <c r="C81" s="20">
        <f t="shared" si="14"/>
        <v>0</v>
      </c>
      <c r="D81" s="20">
        <f t="shared" si="15"/>
        <v>0</v>
      </c>
      <c r="E81" s="20">
        <f t="shared" si="16"/>
        <v>0</v>
      </c>
      <c r="F81" s="20">
        <f t="shared" si="17"/>
        <v>0</v>
      </c>
      <c r="G81" s="20">
        <f t="shared" si="18"/>
        <v>0</v>
      </c>
      <c r="H81" s="20">
        <f t="shared" si="19"/>
        <v>0</v>
      </c>
      <c r="I81" s="20">
        <f t="shared" si="20"/>
        <v>0</v>
      </c>
      <c r="K81" s="20">
        <f t="shared" si="21"/>
        <v>2639632</v>
      </c>
    </row>
    <row r="82" spans="1:11">
      <c r="A82" s="20" t="s">
        <v>970</v>
      </c>
      <c r="B82" s="20">
        <f t="shared" si="13"/>
        <v>0</v>
      </c>
      <c r="C82" s="20">
        <f t="shared" si="14"/>
        <v>0</v>
      </c>
      <c r="D82" s="20">
        <f t="shared" si="15"/>
        <v>0</v>
      </c>
      <c r="E82" s="20">
        <f t="shared" si="16"/>
        <v>0</v>
      </c>
      <c r="F82" s="20">
        <f t="shared" si="17"/>
        <v>0</v>
      </c>
      <c r="G82" s="20">
        <f t="shared" si="18"/>
        <v>0</v>
      </c>
      <c r="H82" s="20">
        <f t="shared" si="19"/>
        <v>0</v>
      </c>
      <c r="I82" s="20">
        <f t="shared" si="20"/>
        <v>0</v>
      </c>
      <c r="K82" s="20">
        <f t="shared" si="21"/>
        <v>0</v>
      </c>
    </row>
    <row r="83" spans="1:12">
      <c r="A83" s="35" t="s">
        <v>971</v>
      </c>
      <c r="B83" s="20">
        <f t="shared" si="13"/>
        <v>1080622.5144</v>
      </c>
      <c r="C83" s="20">
        <f t="shared" si="14"/>
        <v>0</v>
      </c>
      <c r="D83" s="20">
        <f t="shared" si="15"/>
        <v>0</v>
      </c>
      <c r="E83" s="20">
        <f t="shared" si="16"/>
        <v>0</v>
      </c>
      <c r="F83" s="20">
        <f t="shared" si="17"/>
        <v>0</v>
      </c>
      <c r="G83" s="20">
        <f t="shared" si="18"/>
        <v>0</v>
      </c>
      <c r="H83" s="20">
        <f t="shared" si="19"/>
        <v>0</v>
      </c>
      <c r="I83" s="20">
        <f t="shared" si="20"/>
        <v>0</v>
      </c>
      <c r="K83" s="20">
        <f t="shared" si="21"/>
        <v>1080622</v>
      </c>
      <c r="L83" s="20">
        <f>SUM(K83:K87)</f>
        <v>13313700</v>
      </c>
    </row>
    <row r="84" spans="1:11">
      <c r="A84" s="35" t="s">
        <v>972</v>
      </c>
      <c r="B84" s="20">
        <f t="shared" si="13"/>
        <v>673310.952</v>
      </c>
      <c r="C84" s="20">
        <f t="shared" si="14"/>
        <v>0</v>
      </c>
      <c r="D84" s="20">
        <f t="shared" si="15"/>
        <v>0</v>
      </c>
      <c r="E84" s="20">
        <f t="shared" si="16"/>
        <v>1067414.2775</v>
      </c>
      <c r="F84" s="20">
        <f t="shared" si="17"/>
        <v>0</v>
      </c>
      <c r="G84" s="20">
        <f t="shared" si="18"/>
        <v>0</v>
      </c>
      <c r="H84" s="20">
        <f t="shared" si="19"/>
        <v>0</v>
      </c>
      <c r="I84" s="20">
        <f t="shared" si="20"/>
        <v>461222.383</v>
      </c>
      <c r="K84" s="20">
        <f t="shared" si="21"/>
        <v>2201947</v>
      </c>
    </row>
    <row r="85" spans="1:11">
      <c r="A85" s="35" t="s">
        <v>973</v>
      </c>
      <c r="B85" s="20">
        <f t="shared" si="13"/>
        <v>847873.0512</v>
      </c>
      <c r="C85" s="20">
        <f t="shared" si="14"/>
        <v>0</v>
      </c>
      <c r="D85" s="20">
        <f t="shared" si="15"/>
        <v>0</v>
      </c>
      <c r="E85" s="20">
        <f t="shared" si="16"/>
        <v>1344157.1475</v>
      </c>
      <c r="F85" s="20">
        <f t="shared" si="17"/>
        <v>0</v>
      </c>
      <c r="G85" s="20">
        <f t="shared" si="18"/>
        <v>0</v>
      </c>
      <c r="H85" s="20">
        <f t="shared" si="19"/>
        <v>0</v>
      </c>
      <c r="I85" s="20">
        <f t="shared" si="20"/>
        <v>580798.243</v>
      </c>
      <c r="K85" s="20">
        <f t="shared" si="21"/>
        <v>2772828</v>
      </c>
    </row>
    <row r="86" spans="1:11">
      <c r="A86" s="35" t="s">
        <v>974</v>
      </c>
      <c r="B86" s="20">
        <f t="shared" si="13"/>
        <v>1022438.1468</v>
      </c>
      <c r="C86" s="20">
        <f t="shared" si="14"/>
        <v>0</v>
      </c>
      <c r="D86" s="20">
        <f t="shared" si="15"/>
        <v>0</v>
      </c>
      <c r="E86" s="20">
        <f t="shared" si="16"/>
        <v>1620896.3</v>
      </c>
      <c r="F86" s="20">
        <f t="shared" si="17"/>
        <v>0</v>
      </c>
      <c r="G86" s="20">
        <f t="shared" si="18"/>
        <v>0</v>
      </c>
      <c r="H86" s="20">
        <f t="shared" si="19"/>
        <v>0</v>
      </c>
      <c r="I86" s="20">
        <f t="shared" si="20"/>
        <v>700379.077</v>
      </c>
      <c r="K86" s="20">
        <f t="shared" si="21"/>
        <v>3343713</v>
      </c>
    </row>
    <row r="87" spans="1:11">
      <c r="A87" s="35" t="s">
        <v>975</v>
      </c>
      <c r="B87" s="20">
        <f t="shared" si="13"/>
        <v>1197000.246</v>
      </c>
      <c r="C87" s="20">
        <f t="shared" si="14"/>
        <v>0</v>
      </c>
      <c r="D87" s="20">
        <f t="shared" si="15"/>
        <v>0</v>
      </c>
      <c r="E87" s="20">
        <f t="shared" si="16"/>
        <v>1897635.4525</v>
      </c>
      <c r="F87" s="20">
        <f t="shared" si="17"/>
        <v>0</v>
      </c>
      <c r="G87" s="20">
        <f t="shared" si="18"/>
        <v>0</v>
      </c>
      <c r="H87" s="20">
        <f t="shared" si="19"/>
        <v>0</v>
      </c>
      <c r="I87" s="20">
        <f t="shared" si="20"/>
        <v>819954.937</v>
      </c>
      <c r="K87" s="20">
        <f t="shared" si="21"/>
        <v>3914590</v>
      </c>
    </row>
    <row r="88" spans="1:12">
      <c r="A88" s="20" t="s">
        <v>976</v>
      </c>
      <c r="B88" s="20">
        <f t="shared" si="13"/>
        <v>27334999.6272</v>
      </c>
      <c r="C88" s="20">
        <f t="shared" si="14"/>
        <v>0</v>
      </c>
      <c r="D88" s="20">
        <f t="shared" si="15"/>
        <v>3264448.565</v>
      </c>
      <c r="E88" s="20">
        <f t="shared" si="16"/>
        <v>10507384.5075</v>
      </c>
      <c r="F88" s="20">
        <f t="shared" si="17"/>
        <v>1250719.2788</v>
      </c>
      <c r="G88" s="20">
        <f t="shared" si="18"/>
        <v>0</v>
      </c>
      <c r="H88" s="20">
        <f t="shared" si="19"/>
        <v>1515861.187</v>
      </c>
      <c r="I88" s="20">
        <f t="shared" si="20"/>
        <v>4540160.457</v>
      </c>
      <c r="K88" s="20">
        <f t="shared" si="21"/>
        <v>48413573</v>
      </c>
      <c r="L88" s="20">
        <f>SUM(K88:K90)</f>
        <v>50975087</v>
      </c>
    </row>
    <row r="89" spans="1:11">
      <c r="A89" s="20" t="s">
        <v>977</v>
      </c>
      <c r="B89" s="20">
        <f t="shared" si="13"/>
        <v>0</v>
      </c>
      <c r="C89" s="20">
        <f t="shared" si="14"/>
        <v>0</v>
      </c>
      <c r="D89" s="20">
        <f t="shared" si="15"/>
        <v>0</v>
      </c>
      <c r="E89" s="20">
        <f t="shared" si="16"/>
        <v>0</v>
      </c>
      <c r="F89" s="20">
        <f t="shared" si="17"/>
        <v>0</v>
      </c>
      <c r="G89" s="20">
        <f t="shared" si="18"/>
        <v>0</v>
      </c>
      <c r="H89" s="20">
        <f t="shared" si="19"/>
        <v>0</v>
      </c>
      <c r="I89" s="20">
        <f t="shared" si="20"/>
        <v>0</v>
      </c>
      <c r="K89" s="20">
        <f t="shared" si="21"/>
        <v>0</v>
      </c>
    </row>
    <row r="90" spans="1:11">
      <c r="A90" s="20" t="s">
        <v>978</v>
      </c>
      <c r="B90" s="20">
        <f t="shared" si="13"/>
        <v>2561514.0726</v>
      </c>
      <c r="C90" s="20">
        <f t="shared" si="14"/>
        <v>0</v>
      </c>
      <c r="D90" s="20">
        <f t="shared" si="15"/>
        <v>0</v>
      </c>
      <c r="E90" s="20">
        <f t="shared" si="16"/>
        <v>0</v>
      </c>
      <c r="F90" s="20">
        <f t="shared" si="17"/>
        <v>0</v>
      </c>
      <c r="G90" s="20">
        <f t="shared" si="18"/>
        <v>0</v>
      </c>
      <c r="H90" s="20">
        <f t="shared" si="19"/>
        <v>0</v>
      </c>
      <c r="I90" s="20">
        <f t="shared" si="20"/>
        <v>0</v>
      </c>
      <c r="K90" s="20">
        <f t="shared" si="21"/>
        <v>2561514</v>
      </c>
    </row>
    <row r="91" spans="1:12">
      <c r="A91" s="35" t="s">
        <v>979</v>
      </c>
      <c r="B91" s="20">
        <f t="shared" si="13"/>
        <v>111133.9516</v>
      </c>
      <c r="C91" s="20">
        <f t="shared" si="14"/>
        <v>0</v>
      </c>
      <c r="D91" s="20">
        <f t="shared" si="15"/>
        <v>0</v>
      </c>
      <c r="E91" s="20">
        <f t="shared" si="16"/>
        <v>0</v>
      </c>
      <c r="F91" s="20">
        <f t="shared" si="17"/>
        <v>0</v>
      </c>
      <c r="G91" s="20">
        <f t="shared" si="18"/>
        <v>0</v>
      </c>
      <c r="H91" s="20">
        <f t="shared" si="19"/>
        <v>0</v>
      </c>
      <c r="I91" s="20">
        <f t="shared" si="20"/>
        <v>0</v>
      </c>
      <c r="K91" s="20">
        <f t="shared" si="21"/>
        <v>111133</v>
      </c>
      <c r="L91" s="20">
        <f t="shared" ref="L91:L99" si="23">K91</f>
        <v>111133</v>
      </c>
    </row>
    <row r="92" spans="1:12">
      <c r="A92" s="35" t="s">
        <v>364</v>
      </c>
      <c r="B92" s="20">
        <f t="shared" si="13"/>
        <v>0</v>
      </c>
      <c r="C92" s="20">
        <f t="shared" si="14"/>
        <v>0</v>
      </c>
      <c r="D92" s="20">
        <f t="shared" si="15"/>
        <v>0</v>
      </c>
      <c r="E92" s="20">
        <f t="shared" si="16"/>
        <v>0</v>
      </c>
      <c r="F92" s="20">
        <f t="shared" si="17"/>
        <v>0</v>
      </c>
      <c r="G92" s="20">
        <f t="shared" si="18"/>
        <v>0</v>
      </c>
      <c r="H92" s="20">
        <f t="shared" si="19"/>
        <v>0</v>
      </c>
      <c r="I92" s="20">
        <f t="shared" si="20"/>
        <v>0</v>
      </c>
      <c r="K92" s="20">
        <f t="shared" si="21"/>
        <v>0</v>
      </c>
      <c r="L92" s="20">
        <f t="shared" si="23"/>
        <v>0</v>
      </c>
    </row>
    <row r="93" spans="1:12">
      <c r="A93" s="35" t="s">
        <v>980</v>
      </c>
      <c r="B93" s="20">
        <f t="shared" si="13"/>
        <v>406180.0448</v>
      </c>
      <c r="C93" s="20">
        <f t="shared" si="14"/>
        <v>0</v>
      </c>
      <c r="D93" s="20">
        <f t="shared" si="15"/>
        <v>0</v>
      </c>
      <c r="E93" s="20">
        <f t="shared" si="16"/>
        <v>241353.7325</v>
      </c>
      <c r="F93" s="20">
        <f t="shared" si="17"/>
        <v>86188.09</v>
      </c>
      <c r="G93" s="20">
        <f t="shared" si="18"/>
        <v>0</v>
      </c>
      <c r="H93" s="20">
        <f t="shared" si="19"/>
        <v>0</v>
      </c>
      <c r="I93" s="20">
        <f t="shared" si="20"/>
        <v>0</v>
      </c>
      <c r="K93" s="20">
        <f t="shared" si="21"/>
        <v>733721</v>
      </c>
      <c r="L93" s="20">
        <f t="shared" si="23"/>
        <v>733721</v>
      </c>
    </row>
    <row r="94" spans="1:12">
      <c r="A94" s="35" t="s">
        <v>981</v>
      </c>
      <c r="B94" s="20">
        <f t="shared" si="13"/>
        <v>638591.6544</v>
      </c>
      <c r="C94" s="20">
        <f t="shared" si="14"/>
        <v>0</v>
      </c>
      <c r="D94" s="20">
        <f t="shared" si="15"/>
        <v>0</v>
      </c>
      <c r="E94" s="20">
        <f t="shared" si="16"/>
        <v>173553.317</v>
      </c>
      <c r="F94" s="20">
        <f t="shared" si="17"/>
        <v>0</v>
      </c>
      <c r="G94" s="20">
        <f t="shared" si="18"/>
        <v>0</v>
      </c>
      <c r="H94" s="20">
        <f t="shared" si="19"/>
        <v>0</v>
      </c>
      <c r="I94" s="20">
        <f t="shared" si="20"/>
        <v>0</v>
      </c>
      <c r="K94" s="20">
        <f t="shared" si="21"/>
        <v>812144</v>
      </c>
      <c r="L94" s="20">
        <f t="shared" si="23"/>
        <v>812144</v>
      </c>
    </row>
    <row r="95" spans="1:12">
      <c r="A95" s="35" t="s">
        <v>72</v>
      </c>
      <c r="B95" s="20">
        <f t="shared" si="13"/>
        <v>0</v>
      </c>
      <c r="C95" s="20">
        <f t="shared" si="14"/>
        <v>0</v>
      </c>
      <c r="D95" s="20">
        <f t="shared" si="15"/>
        <v>0</v>
      </c>
      <c r="E95" s="20">
        <f t="shared" si="16"/>
        <v>0</v>
      </c>
      <c r="F95" s="20">
        <f t="shared" si="17"/>
        <v>0</v>
      </c>
      <c r="G95" s="20">
        <f t="shared" si="18"/>
        <v>0</v>
      </c>
      <c r="H95" s="20">
        <f t="shared" si="19"/>
        <v>0</v>
      </c>
      <c r="I95" s="20">
        <f t="shared" si="20"/>
        <v>0</v>
      </c>
      <c r="K95" s="20">
        <f t="shared" si="21"/>
        <v>0</v>
      </c>
      <c r="L95" s="20">
        <f t="shared" si="23"/>
        <v>0</v>
      </c>
    </row>
    <row r="96" spans="1:12">
      <c r="A96" s="35" t="s">
        <v>70</v>
      </c>
      <c r="B96" s="20">
        <f t="shared" si="13"/>
        <v>0</v>
      </c>
      <c r="C96" s="20">
        <f t="shared" si="14"/>
        <v>0</v>
      </c>
      <c r="D96" s="20">
        <f t="shared" si="15"/>
        <v>0</v>
      </c>
      <c r="E96" s="20">
        <f t="shared" si="16"/>
        <v>0</v>
      </c>
      <c r="F96" s="20">
        <f t="shared" si="17"/>
        <v>0</v>
      </c>
      <c r="G96" s="20">
        <f t="shared" si="18"/>
        <v>0</v>
      </c>
      <c r="H96" s="20">
        <f t="shared" si="19"/>
        <v>0</v>
      </c>
      <c r="I96" s="20">
        <f t="shared" si="20"/>
        <v>0</v>
      </c>
      <c r="K96" s="20">
        <f t="shared" si="21"/>
        <v>0</v>
      </c>
      <c r="L96" s="20">
        <f t="shared" si="23"/>
        <v>0</v>
      </c>
    </row>
    <row r="97" spans="1:12">
      <c r="A97" s="35" t="s">
        <v>982</v>
      </c>
      <c r="B97" s="20">
        <f t="shared" si="13"/>
        <v>0</v>
      </c>
      <c r="C97" s="20">
        <f t="shared" si="14"/>
        <v>0</v>
      </c>
      <c r="D97" s="20">
        <f t="shared" si="15"/>
        <v>0</v>
      </c>
      <c r="E97" s="20">
        <f t="shared" si="16"/>
        <v>0</v>
      </c>
      <c r="F97" s="20">
        <f t="shared" si="17"/>
        <v>0</v>
      </c>
      <c r="G97" s="20">
        <f t="shared" si="18"/>
        <v>0</v>
      </c>
      <c r="H97" s="20">
        <f t="shared" si="19"/>
        <v>0</v>
      </c>
      <c r="I97" s="20">
        <f t="shared" si="20"/>
        <v>0</v>
      </c>
      <c r="K97" s="20">
        <f t="shared" si="21"/>
        <v>0</v>
      </c>
      <c r="L97" s="20">
        <f t="shared" si="23"/>
        <v>0</v>
      </c>
    </row>
    <row r="98" spans="1:12">
      <c r="A98" s="20" t="s">
        <v>983</v>
      </c>
      <c r="B98" s="20">
        <f t="shared" si="13"/>
        <v>0</v>
      </c>
      <c r="C98" s="20">
        <f t="shared" si="14"/>
        <v>0</v>
      </c>
      <c r="D98" s="20">
        <f t="shared" si="15"/>
        <v>0</v>
      </c>
      <c r="E98" s="20">
        <f t="shared" si="16"/>
        <v>0</v>
      </c>
      <c r="F98" s="20">
        <f t="shared" si="17"/>
        <v>0</v>
      </c>
      <c r="G98" s="20">
        <f t="shared" si="18"/>
        <v>0</v>
      </c>
      <c r="H98" s="20">
        <f t="shared" si="19"/>
        <v>0</v>
      </c>
      <c r="I98" s="20">
        <f t="shared" si="20"/>
        <v>0</v>
      </c>
      <c r="K98" s="20">
        <f t="shared" si="21"/>
        <v>0</v>
      </c>
      <c r="L98" s="20">
        <f t="shared" si="23"/>
        <v>0</v>
      </c>
    </row>
    <row r="99" spans="1:12">
      <c r="A99" s="35" t="s">
        <v>984</v>
      </c>
      <c r="B99" s="20">
        <f t="shared" si="13"/>
        <v>0</v>
      </c>
      <c r="C99" s="20">
        <f t="shared" si="14"/>
        <v>0</v>
      </c>
      <c r="D99" s="20">
        <f t="shared" si="15"/>
        <v>0</v>
      </c>
      <c r="E99" s="20">
        <f t="shared" si="16"/>
        <v>0</v>
      </c>
      <c r="F99" s="20">
        <f t="shared" si="17"/>
        <v>0</v>
      </c>
      <c r="G99" s="20">
        <f t="shared" si="18"/>
        <v>0</v>
      </c>
      <c r="H99" s="20">
        <f t="shared" si="19"/>
        <v>0</v>
      </c>
      <c r="I99" s="20">
        <f t="shared" si="20"/>
        <v>0</v>
      </c>
      <c r="K99" s="20">
        <f t="shared" si="21"/>
        <v>0</v>
      </c>
      <c r="L99" s="20">
        <f t="shared" si="23"/>
        <v>0</v>
      </c>
    </row>
    <row r="100" spans="1:9">
      <c r="A100" s="20" t="s">
        <v>985</v>
      </c>
      <c r="B100" s="20">
        <f t="shared" si="13"/>
        <v>0</v>
      </c>
      <c r="C100" s="20">
        <f t="shared" si="14"/>
        <v>0</v>
      </c>
      <c r="D100" s="20">
        <f t="shared" si="15"/>
        <v>0</v>
      </c>
      <c r="E100" s="20">
        <f t="shared" si="16"/>
        <v>0</v>
      </c>
      <c r="F100" s="20">
        <f t="shared" si="17"/>
        <v>0</v>
      </c>
      <c r="G100" s="20">
        <f t="shared" si="18"/>
        <v>0</v>
      </c>
      <c r="H100" s="20">
        <f t="shared" si="19"/>
        <v>0</v>
      </c>
      <c r="I100" s="20">
        <f t="shared" si="20"/>
        <v>0</v>
      </c>
    </row>
    <row r="101" spans="9:9">
      <c r="I101" s="20">
        <f>INT(SUM(B71:I100)+(SUM(B71:I100)*8/35*1%*30%+SUM(B71:I100)*8/35*5%*70%)*额外增益统计!D168)</f>
        <v>218249552</v>
      </c>
    </row>
  </sheetData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1"/>
  <sheetViews>
    <sheetView workbookViewId="0">
      <pane xSplit="1" ySplit="1" topLeftCell="B59" activePane="bottomRight" state="frozen"/>
      <selection/>
      <selection pane="topRight"/>
      <selection pane="bottomLeft"/>
      <selection pane="bottomRight" activeCell="B55" sqref="B55"/>
    </sheetView>
  </sheetViews>
  <sheetFormatPr defaultColWidth="9.64166666666667" defaultRowHeight="13.5"/>
  <cols>
    <col min="1" max="1" width="17.25" style="20" customWidth="1"/>
    <col min="2" max="6" width="12.625" style="20"/>
    <col min="7" max="7" width="11.375" style="20" customWidth="1"/>
    <col min="8" max="8" width="9.75" style="20" customWidth="1"/>
    <col min="9" max="9" width="12.875" style="20" customWidth="1"/>
    <col min="10" max="10" width="11.25" style="20" customWidth="1"/>
    <col min="11" max="11" width="12.875" style="20" customWidth="1"/>
    <col min="12" max="12" width="10" style="20" customWidth="1"/>
    <col min="13" max="13" width="14.25" style="20" customWidth="1"/>
    <col min="14" max="14" width="8.875" style="20" customWidth="1"/>
    <col min="15" max="15" width="11.125" style="20" customWidth="1"/>
    <col min="16" max="19" width="12.875" style="20" customWidth="1"/>
    <col min="20" max="20" width="15" style="20" customWidth="1"/>
    <col min="21" max="21" width="12.875" style="20" customWidth="1"/>
    <col min="22" max="27" width="12.625" style="20"/>
    <col min="28" max="28" width="17.125" style="20" customWidth="1"/>
    <col min="29" max="30" width="12.625" style="20"/>
    <col min="31" max="31" width="19.125" style="20" customWidth="1"/>
    <col min="32" max="32" width="13.125" style="20" customWidth="1"/>
    <col min="33" max="33" width="16.25" style="20" customWidth="1"/>
    <col min="34" max="34" width="22.25" style="20" customWidth="1"/>
    <col min="35" max="37" width="12.875" style="20" customWidth="1"/>
    <col min="38" max="38" width="17.125" style="20" customWidth="1"/>
    <col min="39" max="39" width="21.5" style="20" customWidth="1"/>
    <col min="40" max="40" width="11" style="20" customWidth="1"/>
    <col min="41" max="41" width="9" style="20" customWidth="1"/>
    <col min="42" max="16384" width="9.64166666666667" style="20"/>
  </cols>
  <sheetData>
    <row r="1" spans="1:40">
      <c r="A1" s="20">
        <f>'伤害统计(理想)'!A1</f>
        <v>0</v>
      </c>
      <c r="B1" s="20" t="str">
        <f>'伤害统计(理想)'!B1</f>
        <v>基础伤害</v>
      </c>
      <c r="C1" s="20" t="str">
        <f>'伤害统计(理想)'!C1</f>
        <v>基础攻击力</v>
      </c>
      <c r="D1" s="20" t="str">
        <f>'伤害统计(理想)'!D1</f>
        <v>攻击力</v>
      </c>
      <c r="E1" s="20" t="str">
        <f>'伤害统计(理想)'!E1</f>
        <v>攻击系数</v>
      </c>
      <c r="F1" s="20" t="str">
        <f>'伤害统计(理想)'!F1</f>
        <v>技改系数</v>
      </c>
      <c r="G1" s="20" t="str">
        <f>'伤害统计(理想)'!G1</f>
        <v>秘籍加成</v>
      </c>
      <c r="H1" s="20" t="str">
        <f>'伤害统计(理想)'!H1</f>
        <v>奇穴加成</v>
      </c>
      <c r="I1" s="20" t="str">
        <f>'伤害统计(理想)'!I1</f>
        <v>非侠加成</v>
      </c>
      <c r="J1" s="20" t="str">
        <f>'伤害统计(理想)'!J1</f>
        <v>破防值</v>
      </c>
      <c r="K1" s="20" t="str">
        <f>'伤害统计(理想)'!K1</f>
        <v>腰坠破防加成</v>
      </c>
      <c r="L1" s="20" t="str">
        <f>'伤害统计(理想)'!L1</f>
        <v>防御值</v>
      </c>
      <c r="M1" s="20" t="str">
        <f>'伤害统计(理想)'!M1</f>
        <v>无双</v>
      </c>
      <c r="N1" s="20" t="str">
        <f>'伤害统计(理想)'!N1</f>
        <v>等级压制</v>
      </c>
      <c r="O1" s="20" t="str">
        <f>'伤害统计(理想)'!O1</f>
        <v>会心</v>
      </c>
      <c r="P1" s="20" t="str">
        <f>'伤害统计(理想)'!P1</f>
        <v>奇穴会心加成</v>
      </c>
      <c r="Q1" s="20" t="str">
        <f>'伤害统计(理想)'!Q1</f>
        <v>常规最终会心</v>
      </c>
      <c r="R1" s="20" t="str">
        <f>'伤害统计(理想)'!R1</f>
        <v>紫气会心加成</v>
      </c>
      <c r="S1" s="20" t="str">
        <f>'伤害统计(理想)'!S1</f>
        <v>紫气最终会心</v>
      </c>
      <c r="T1" s="20" t="str">
        <f>'伤害统计(理想)'!T1</f>
        <v>会效</v>
      </c>
      <c r="U1" s="20" t="str">
        <f>'伤害统计(理想)'!U1</f>
        <v>奇穴会效加成</v>
      </c>
      <c r="V1" s="20" t="str">
        <f>'伤害统计(理想)'!V1</f>
        <v>常规最终会效</v>
      </c>
      <c r="W1" s="20" t="str">
        <f>'伤害统计(理想)'!W1</f>
        <v>厚亡会效加成</v>
      </c>
      <c r="X1" s="20" t="str">
        <f>'伤害统计(理想)'!X1</f>
        <v>厚亡最终会效</v>
      </c>
      <c r="Y1" s="20" t="str">
        <f>'伤害统计(理想)'!Y1</f>
        <v>紫气会效加成</v>
      </c>
      <c r="Z1" s="20" t="str">
        <f>'伤害统计(理想)'!Z1</f>
        <v>紫气最终会效</v>
      </c>
      <c r="AA1" s="20" t="str">
        <f>'伤害统计(理想)'!AA1</f>
        <v>会神会效加成</v>
      </c>
      <c r="AB1" s="20" t="str">
        <f>'伤害统计(理想)'!AB1</f>
        <v>会神紫气最终会效</v>
      </c>
      <c r="AC1" s="20" t="s">
        <v>947</v>
      </c>
      <c r="AD1" s="20" t="s">
        <v>948</v>
      </c>
      <c r="AE1" s="20" t="s">
        <v>949</v>
      </c>
      <c r="AF1" s="20" t="s">
        <v>950</v>
      </c>
      <c r="AG1" s="20" t="s">
        <v>951</v>
      </c>
      <c r="AH1" s="20" t="s">
        <v>952</v>
      </c>
      <c r="AI1" s="20" t="s">
        <v>953</v>
      </c>
      <c r="AJ1" s="20" t="s">
        <v>954</v>
      </c>
      <c r="AK1" s="20" t="s">
        <v>955</v>
      </c>
      <c r="AL1" s="20" t="s">
        <v>956</v>
      </c>
      <c r="AM1" s="20" t="s">
        <v>957</v>
      </c>
      <c r="AN1" s="20" t="s">
        <v>958</v>
      </c>
    </row>
    <row r="2" spans="1:40">
      <c r="A2" s="20" t="str">
        <f>'伤害统计(理想)'!A2</f>
        <v>万世二段</v>
      </c>
      <c r="B2" s="20">
        <f>'伤害统计(理想)'!B2</f>
        <v>1189</v>
      </c>
      <c r="C2" s="20">
        <f>'伤害统计(理想)'!C2</f>
        <v>34400</v>
      </c>
      <c r="D2" s="20">
        <f>'伤害统计(理想)'!D2</f>
        <v>45792</v>
      </c>
      <c r="E2" s="20">
        <f>'伤害统计(理想)'!E2</f>
        <v>2.4325</v>
      </c>
      <c r="F2" s="20">
        <f>'伤害统计(理想)'!F2</f>
        <v>1</v>
      </c>
      <c r="G2" s="20">
        <f>'伤害统计(理想)'!G2</f>
        <v>0.12</v>
      </c>
      <c r="H2" s="20">
        <f>'伤害统计(理想)'!H2</f>
        <v>0.1</v>
      </c>
      <c r="I2" s="20">
        <f>'伤害统计(理想)'!I2</f>
        <v>1.35</v>
      </c>
      <c r="J2" s="20">
        <f>'伤害统计(理想)'!J2</f>
        <v>0.472</v>
      </c>
      <c r="K2" s="20">
        <f>'伤害统计(理想)'!K2</f>
        <v>0.1181</v>
      </c>
      <c r="L2" s="20">
        <f>'伤害统计(理想)'!L2</f>
        <v>0.177214436704937</v>
      </c>
      <c r="M2" s="20">
        <f>'伤害统计(理想)'!M2</f>
        <v>0.3473</v>
      </c>
      <c r="N2" s="20">
        <f>'伤害统计(理想)'!N2</f>
        <v>0.2</v>
      </c>
      <c r="O2" s="20">
        <f>'伤害统计(理想)'!O2</f>
        <v>0.4994</v>
      </c>
      <c r="P2" s="20">
        <f>'伤害统计(理想)'!P2</f>
        <v>0</v>
      </c>
      <c r="Q2" s="20">
        <f>'伤害统计(理想)'!Q2</f>
        <v>0.4994</v>
      </c>
      <c r="R2" s="20">
        <f>'伤害统计(理想)'!R2</f>
        <v>0.2441</v>
      </c>
      <c r="S2" s="20">
        <f>'伤害统计(理想)'!S2</f>
        <v>0.7435</v>
      </c>
      <c r="T2" s="20">
        <f>'伤害统计(理想)'!T2</f>
        <v>2.0895</v>
      </c>
      <c r="U2" s="20">
        <f>'伤害统计(理想)'!U2</f>
        <v>0</v>
      </c>
      <c r="V2" s="20">
        <f>'伤害统计(理想)'!V2</f>
        <v>2.0895</v>
      </c>
      <c r="W2" s="20">
        <f>'伤害统计(理想)'!W2</f>
        <v>0.2441</v>
      </c>
      <c r="X2" s="20">
        <f>'伤害统计(理想)'!X2</f>
        <v>2.3336</v>
      </c>
      <c r="Y2" s="20">
        <f>'伤害统计(理想)'!Y2</f>
        <v>0.2441</v>
      </c>
      <c r="Z2" s="20">
        <f>'伤害统计(理想)'!Z2</f>
        <v>2.3336</v>
      </c>
      <c r="AA2" s="20">
        <f>'伤害统计(理想)'!AA2</f>
        <v>0.1953</v>
      </c>
      <c r="AB2" s="20">
        <f>'伤害统计(理想)'!AB2</f>
        <v>2.5289</v>
      </c>
      <c r="AC2" s="20">
        <f t="shared" ref="AC2:AC32" si="0">INT(INT(B2+D2*E2)*F2*(1+G2+H2)*(1+I2)*(1+J2)*(1-L2)*(1+M2)*(1-N2))</f>
        <v>421337</v>
      </c>
      <c r="AD2" s="20">
        <f t="shared" ref="AD2:AD32" si="1">INT((B2+(D2+C2*50%)*E2)*F2*(1+G2+H2)*(1+I2)*(1+J2)*(1-L2)*(1+M2)*(1-N2))</f>
        <v>577925</v>
      </c>
      <c r="AE2" s="20">
        <f t="shared" ref="AE2:AE32" si="2">INT((B2+(D2+C2*50%)*E2)*F2*(1+G2+H2)*(1+I2)*(1+J2+K2)*(1-L2)*(1+M2)*(1-N2))</f>
        <v>624292</v>
      </c>
      <c r="AF2" s="20">
        <f t="shared" ref="AF2:AF32" si="3">INT(AC2*V2)</f>
        <v>880383</v>
      </c>
      <c r="AG2" s="20">
        <f t="shared" ref="AG2:AG32" si="4">INT(AD2*Z2)</f>
        <v>1348645</v>
      </c>
      <c r="AH2" s="20">
        <f>INT(AE2*Z2)</f>
        <v>1456847</v>
      </c>
      <c r="AI2" s="20">
        <f t="shared" ref="AI2:AI32" si="5">INT((B2+(D2+C2*25%)*E2)*F2*(1+G2+H2)*(1+I2)*(1+J2)*(1-L2)*(1+M2)*(1-N2))</f>
        <v>499631</v>
      </c>
      <c r="AJ2" s="20">
        <f t="shared" ref="AJ2:AJ32" si="6">INT(AI2*X2)</f>
        <v>1165938</v>
      </c>
      <c r="AK2" s="20">
        <f t="shared" ref="AK2:AK32" si="7">INT((B2+(D2+C2*25%)*E2)*F2*(1+G2+H2)*(1+I2)*(1+J2+K2)*(1-L2)*(1+M2)*(1-N2))</f>
        <v>539717</v>
      </c>
      <c r="AL2" s="20">
        <f t="shared" ref="AL2:AL32" si="8">INT(AK2*X2)</f>
        <v>1259483</v>
      </c>
      <c r="AM2" s="20">
        <f t="shared" ref="AM2:AM32" si="9">INT(AD2*AB2)</f>
        <v>1461514</v>
      </c>
      <c r="AN2" s="20">
        <f t="shared" ref="AN2:AN32" si="10">INT(AE2*AB2)</f>
        <v>1578772</v>
      </c>
    </row>
    <row r="3" spans="1:40">
      <c r="A3" s="20" t="str">
        <f>'伤害统计(理想)'!A3</f>
        <v>飞剑1</v>
      </c>
      <c r="B3" s="20">
        <f>'伤害统计(理想)'!B3</f>
        <v>50</v>
      </c>
      <c r="C3" s="20">
        <f>'伤害统计(理想)'!C3</f>
        <v>34400</v>
      </c>
      <c r="D3" s="20">
        <f>'伤害统计(理想)'!D3</f>
        <v>45792</v>
      </c>
      <c r="E3" s="20">
        <f>'伤害统计(理想)'!E3</f>
        <v>0.286996875</v>
      </c>
      <c r="F3" s="20">
        <f>'伤害统计(理想)'!F3</f>
        <v>1</v>
      </c>
      <c r="G3" s="20">
        <f>'伤害统计(理想)'!G3</f>
        <v>0.12</v>
      </c>
      <c r="H3" s="20">
        <f>'伤害统计(理想)'!H3</f>
        <v>0.1</v>
      </c>
      <c r="I3" s="20">
        <f>'伤害统计(理想)'!I3</f>
        <v>1.35</v>
      </c>
      <c r="J3" s="20">
        <f>'伤害统计(理想)'!J3</f>
        <v>0.472</v>
      </c>
      <c r="K3" s="20">
        <f>'伤害统计(理想)'!K3</f>
        <v>0.1181</v>
      </c>
      <c r="L3" s="20">
        <f>'伤害统计(理想)'!L3</f>
        <v>0.177214436704937</v>
      </c>
      <c r="M3" s="20">
        <f>'伤害统计(理想)'!M3</f>
        <v>0.3473</v>
      </c>
      <c r="N3" s="20">
        <f>'伤害统计(理想)'!N3</f>
        <v>0.2</v>
      </c>
      <c r="O3" s="20">
        <f>'伤害统计(理想)'!O3</f>
        <v>0.4994</v>
      </c>
      <c r="P3" s="20">
        <f>'伤害统计(理想)'!P3</f>
        <v>0</v>
      </c>
      <c r="Q3" s="20">
        <f>'伤害统计(理想)'!Q3</f>
        <v>0.4994</v>
      </c>
      <c r="R3" s="20">
        <f>'伤害统计(理想)'!R3</f>
        <v>0.2441</v>
      </c>
      <c r="S3" s="20">
        <f>'伤害统计(理想)'!S3</f>
        <v>0.7435</v>
      </c>
      <c r="T3" s="20">
        <f>'伤害统计(理想)'!T3</f>
        <v>2.0895</v>
      </c>
      <c r="U3" s="20">
        <f>'伤害统计(理想)'!U3</f>
        <v>0</v>
      </c>
      <c r="V3" s="20">
        <f>'伤害统计(理想)'!V3</f>
        <v>2.0895</v>
      </c>
      <c r="W3" s="20">
        <f>'伤害统计(理想)'!W3</f>
        <v>0.2441</v>
      </c>
      <c r="X3" s="20">
        <f>'伤害统计(理想)'!X3</f>
        <v>2.3336</v>
      </c>
      <c r="Y3" s="20">
        <f>'伤害统计(理想)'!Y3</f>
        <v>0.2441</v>
      </c>
      <c r="Z3" s="20">
        <f>'伤害统计(理想)'!Z3</f>
        <v>2.3336</v>
      </c>
      <c r="AA3" s="20">
        <f>'伤害统计(理想)'!AA3</f>
        <v>0.1953</v>
      </c>
      <c r="AB3" s="20">
        <f>'伤害统计(理想)'!AB3</f>
        <v>2.5289</v>
      </c>
      <c r="AC3" s="20">
        <f t="shared" si="0"/>
        <v>49372</v>
      </c>
      <c r="AD3" s="20">
        <f t="shared" si="1"/>
        <v>67848</v>
      </c>
      <c r="AE3" s="20">
        <f t="shared" si="2"/>
        <v>73291</v>
      </c>
      <c r="AF3" s="20">
        <f t="shared" si="3"/>
        <v>103162</v>
      </c>
      <c r="AG3" s="20">
        <f t="shared" si="4"/>
        <v>158330</v>
      </c>
      <c r="AH3" s="20">
        <f>INT(AE3*(T3+U3+0.4441+按提示输入属性!D64*0.1953))</f>
        <v>200003</v>
      </c>
      <c r="AI3" s="20">
        <f t="shared" si="5"/>
        <v>58610</v>
      </c>
      <c r="AJ3" s="20">
        <f t="shared" si="6"/>
        <v>136772</v>
      </c>
      <c r="AK3" s="20">
        <f t="shared" si="7"/>
        <v>63313</v>
      </c>
      <c r="AL3" s="20">
        <f t="shared" si="8"/>
        <v>147747</v>
      </c>
      <c r="AM3" s="20">
        <f t="shared" si="9"/>
        <v>171580</v>
      </c>
      <c r="AN3" s="20">
        <f t="shared" si="10"/>
        <v>185345</v>
      </c>
    </row>
    <row r="4" spans="1:40">
      <c r="A4" s="20" t="str">
        <f>'伤害统计(理想)'!A4</f>
        <v>飞剑2</v>
      </c>
      <c r="B4" s="20">
        <f>'伤害统计(理想)'!B4</f>
        <v>50</v>
      </c>
      <c r="C4" s="20">
        <f>'伤害统计(理想)'!C4</f>
        <v>34400</v>
      </c>
      <c r="D4" s="20">
        <f>'伤害统计(理想)'!D4</f>
        <v>45792</v>
      </c>
      <c r="E4" s="20">
        <f>'伤害统计(理想)'!E4</f>
        <v>0.286996875</v>
      </c>
      <c r="F4" s="20">
        <f>'伤害统计(理想)'!F4</f>
        <v>1</v>
      </c>
      <c r="G4" s="20">
        <f>'伤害统计(理想)'!G4</f>
        <v>0.12</v>
      </c>
      <c r="H4" s="20">
        <f>'伤害统计(理想)'!H4</f>
        <v>0.25</v>
      </c>
      <c r="I4" s="20">
        <f>'伤害统计(理想)'!I4</f>
        <v>1.35</v>
      </c>
      <c r="J4" s="20">
        <f>'伤害统计(理想)'!J4</f>
        <v>0.472</v>
      </c>
      <c r="K4" s="20">
        <f>'伤害统计(理想)'!K4</f>
        <v>0.1181</v>
      </c>
      <c r="L4" s="20">
        <f>'伤害统计(理想)'!L4</f>
        <v>0.177214436704937</v>
      </c>
      <c r="M4" s="20">
        <f>'伤害统计(理想)'!M4</f>
        <v>0.3473</v>
      </c>
      <c r="N4" s="20">
        <f>'伤害统计(理想)'!N4</f>
        <v>0.2</v>
      </c>
      <c r="O4" s="20">
        <f>'伤害统计(理想)'!O4</f>
        <v>0.4994</v>
      </c>
      <c r="P4" s="20">
        <f>'伤害统计(理想)'!P4</f>
        <v>0</v>
      </c>
      <c r="Q4" s="20">
        <f>'伤害统计(理想)'!Q4</f>
        <v>0.4994</v>
      </c>
      <c r="R4" s="20">
        <f>'伤害统计(理想)'!R4</f>
        <v>0.2441</v>
      </c>
      <c r="S4" s="20">
        <f>'伤害统计(理想)'!S4</f>
        <v>0.7435</v>
      </c>
      <c r="T4" s="20">
        <f>'伤害统计(理想)'!T4</f>
        <v>2.0895</v>
      </c>
      <c r="U4" s="20">
        <f>'伤害统计(理想)'!U4</f>
        <v>0</v>
      </c>
      <c r="V4" s="20">
        <f>'伤害统计(理想)'!V4</f>
        <v>2.0895</v>
      </c>
      <c r="W4" s="20">
        <f>'伤害统计(理想)'!W4</f>
        <v>0.2441</v>
      </c>
      <c r="X4" s="20">
        <f>'伤害统计(理想)'!X4</f>
        <v>2.3336</v>
      </c>
      <c r="Y4" s="20">
        <f>'伤害统计(理想)'!Y4</f>
        <v>0.2441</v>
      </c>
      <c r="Z4" s="20">
        <f>'伤害统计(理想)'!Z4</f>
        <v>2.3336</v>
      </c>
      <c r="AA4" s="20">
        <f>'伤害统计(理想)'!AA4</f>
        <v>0.1953</v>
      </c>
      <c r="AB4" s="20">
        <f>'伤害统计(理想)'!AB4</f>
        <v>2.5289</v>
      </c>
      <c r="AC4" s="20">
        <f t="shared" si="0"/>
        <v>55443</v>
      </c>
      <c r="AD4" s="20">
        <f t="shared" si="1"/>
        <v>76190</v>
      </c>
      <c r="AE4" s="20">
        <f t="shared" si="2"/>
        <v>82303</v>
      </c>
      <c r="AF4" s="20">
        <f t="shared" si="3"/>
        <v>115848</v>
      </c>
      <c r="AG4" s="20">
        <f t="shared" si="4"/>
        <v>177796</v>
      </c>
      <c r="AH4" s="20">
        <f>INT(AE4*(T4+U4+0.4441+按提示输入属性!D64*0.1953))</f>
        <v>224596</v>
      </c>
      <c r="AI4" s="20">
        <f t="shared" si="5"/>
        <v>65817</v>
      </c>
      <c r="AJ4" s="20">
        <f t="shared" si="6"/>
        <v>153590</v>
      </c>
      <c r="AK4" s="20">
        <f t="shared" si="7"/>
        <v>71097</v>
      </c>
      <c r="AL4" s="20">
        <f t="shared" si="8"/>
        <v>165911</v>
      </c>
      <c r="AM4" s="20">
        <f t="shared" si="9"/>
        <v>192676</v>
      </c>
      <c r="AN4" s="20">
        <f t="shared" si="10"/>
        <v>208136</v>
      </c>
    </row>
    <row r="5" spans="1:40">
      <c r="A5" s="20" t="str">
        <f>'伤害统计(理想)'!A5</f>
        <v>飞剑3</v>
      </c>
      <c r="B5" s="20">
        <f>'伤害统计(理想)'!B5</f>
        <v>50</v>
      </c>
      <c r="C5" s="20">
        <f>'伤害统计(理想)'!C5</f>
        <v>34400</v>
      </c>
      <c r="D5" s="20">
        <f>'伤害统计(理想)'!D5</f>
        <v>45792</v>
      </c>
      <c r="E5" s="20">
        <f>'伤害统计(理想)'!E5</f>
        <v>0.286996875</v>
      </c>
      <c r="F5" s="20">
        <f>'伤害统计(理想)'!F5</f>
        <v>1</v>
      </c>
      <c r="G5" s="20">
        <f>'伤害统计(理想)'!G5</f>
        <v>0.12</v>
      </c>
      <c r="H5" s="20">
        <f>'伤害统计(理想)'!H5</f>
        <v>0.4</v>
      </c>
      <c r="I5" s="20">
        <f>'伤害统计(理想)'!I5</f>
        <v>1.35</v>
      </c>
      <c r="J5" s="20">
        <f>'伤害统计(理想)'!J5</f>
        <v>0.472</v>
      </c>
      <c r="K5" s="20">
        <f>'伤害统计(理想)'!K5</f>
        <v>0.1181</v>
      </c>
      <c r="L5" s="20">
        <f>'伤害统计(理想)'!L5</f>
        <v>0.177214436704937</v>
      </c>
      <c r="M5" s="20">
        <f>'伤害统计(理想)'!M5</f>
        <v>0.3473</v>
      </c>
      <c r="N5" s="20">
        <f>'伤害统计(理想)'!N5</f>
        <v>0.2</v>
      </c>
      <c r="O5" s="20">
        <f>'伤害统计(理想)'!O5</f>
        <v>0.4994</v>
      </c>
      <c r="P5" s="20">
        <f>'伤害统计(理想)'!P5</f>
        <v>0</v>
      </c>
      <c r="Q5" s="20">
        <f>'伤害统计(理想)'!Q5</f>
        <v>0.4994</v>
      </c>
      <c r="R5" s="20">
        <f>'伤害统计(理想)'!R5</f>
        <v>0.2441</v>
      </c>
      <c r="S5" s="20">
        <f>'伤害统计(理想)'!S5</f>
        <v>0.7435</v>
      </c>
      <c r="T5" s="20">
        <f>'伤害统计(理想)'!T5</f>
        <v>2.0895</v>
      </c>
      <c r="U5" s="20">
        <f>'伤害统计(理想)'!U5</f>
        <v>0</v>
      </c>
      <c r="V5" s="20">
        <f>'伤害统计(理想)'!V5</f>
        <v>2.0895</v>
      </c>
      <c r="W5" s="20">
        <f>'伤害统计(理想)'!W5</f>
        <v>0.2441</v>
      </c>
      <c r="X5" s="20">
        <f>'伤害统计(理想)'!X5</f>
        <v>2.3336</v>
      </c>
      <c r="Y5" s="20">
        <f>'伤害统计(理想)'!Y5</f>
        <v>0.2441</v>
      </c>
      <c r="Z5" s="20">
        <f>'伤害统计(理想)'!Z5</f>
        <v>2.3336</v>
      </c>
      <c r="AA5" s="20">
        <f>'伤害统计(理想)'!AA5</f>
        <v>0.1953</v>
      </c>
      <c r="AB5" s="20">
        <f>'伤害统计(理想)'!AB5</f>
        <v>2.5289</v>
      </c>
      <c r="AC5" s="20">
        <f t="shared" si="0"/>
        <v>61513</v>
      </c>
      <c r="AD5" s="20">
        <f t="shared" si="1"/>
        <v>84532</v>
      </c>
      <c r="AE5" s="20">
        <f t="shared" si="2"/>
        <v>91314</v>
      </c>
      <c r="AF5" s="20">
        <f t="shared" si="3"/>
        <v>128531</v>
      </c>
      <c r="AG5" s="20">
        <f t="shared" si="4"/>
        <v>197263</v>
      </c>
      <c r="AH5" s="20">
        <f>INT(AE5*(T5+U5+0.4441+按提示输入属性!D64*0.1953))</f>
        <v>249186</v>
      </c>
      <c r="AI5" s="20">
        <f t="shared" si="5"/>
        <v>73023</v>
      </c>
      <c r="AJ5" s="20">
        <f t="shared" si="6"/>
        <v>170406</v>
      </c>
      <c r="AK5" s="20">
        <f t="shared" si="7"/>
        <v>78881</v>
      </c>
      <c r="AL5" s="20">
        <f t="shared" si="8"/>
        <v>184076</v>
      </c>
      <c r="AM5" s="20">
        <f t="shared" si="9"/>
        <v>213772</v>
      </c>
      <c r="AN5" s="20">
        <f t="shared" si="10"/>
        <v>230923</v>
      </c>
    </row>
    <row r="6" spans="1:40">
      <c r="A6" s="20" t="str">
        <f>'伤害统计(理想)'!A6</f>
        <v>飞剑4</v>
      </c>
      <c r="B6" s="20">
        <f>'伤害统计(理想)'!B6</f>
        <v>50</v>
      </c>
      <c r="C6" s="20">
        <f>'伤害统计(理想)'!C6</f>
        <v>34400</v>
      </c>
      <c r="D6" s="20">
        <f>'伤害统计(理想)'!D6</f>
        <v>45792</v>
      </c>
      <c r="E6" s="20">
        <f>'伤害统计(理想)'!E6</f>
        <v>0.286996875</v>
      </c>
      <c r="F6" s="20">
        <f>'伤害统计(理想)'!F6</f>
        <v>1</v>
      </c>
      <c r="G6" s="20">
        <f>'伤害统计(理想)'!G6</f>
        <v>0.12</v>
      </c>
      <c r="H6" s="20">
        <f>'伤害统计(理想)'!H6</f>
        <v>0.55</v>
      </c>
      <c r="I6" s="20">
        <f>'伤害统计(理想)'!I6</f>
        <v>1.35</v>
      </c>
      <c r="J6" s="20">
        <f>'伤害统计(理想)'!J6</f>
        <v>0.472</v>
      </c>
      <c r="K6" s="20">
        <f>'伤害统计(理想)'!K6</f>
        <v>0.1181</v>
      </c>
      <c r="L6" s="20">
        <f>'伤害统计(理想)'!L6</f>
        <v>0.177214436704937</v>
      </c>
      <c r="M6" s="20">
        <f>'伤害统计(理想)'!M6</f>
        <v>0.3473</v>
      </c>
      <c r="N6" s="20">
        <f>'伤害统计(理想)'!N6</f>
        <v>0.2</v>
      </c>
      <c r="O6" s="20">
        <f>'伤害统计(理想)'!O6</f>
        <v>0.4994</v>
      </c>
      <c r="P6" s="20">
        <f>'伤害统计(理想)'!P6</f>
        <v>0</v>
      </c>
      <c r="Q6" s="20">
        <f>'伤害统计(理想)'!Q6</f>
        <v>0.4994</v>
      </c>
      <c r="R6" s="20">
        <f>'伤害统计(理想)'!R6</f>
        <v>0.2441</v>
      </c>
      <c r="S6" s="20">
        <f>'伤害统计(理想)'!S6</f>
        <v>0.7435</v>
      </c>
      <c r="T6" s="20">
        <f>'伤害统计(理想)'!T6</f>
        <v>2.0895</v>
      </c>
      <c r="U6" s="20">
        <f>'伤害统计(理想)'!U6</f>
        <v>0</v>
      </c>
      <c r="V6" s="20">
        <f>'伤害统计(理想)'!V6</f>
        <v>2.0895</v>
      </c>
      <c r="W6" s="20">
        <f>'伤害统计(理想)'!W6</f>
        <v>0.2441</v>
      </c>
      <c r="X6" s="20">
        <f>'伤害统计(理想)'!X6</f>
        <v>2.3336</v>
      </c>
      <c r="Y6" s="20">
        <f>'伤害统计(理想)'!Y6</f>
        <v>0.2441</v>
      </c>
      <c r="Z6" s="20">
        <f>'伤害统计(理想)'!Z6</f>
        <v>2.3336</v>
      </c>
      <c r="AA6" s="20">
        <f>'伤害统计(理想)'!AA6</f>
        <v>0.1953</v>
      </c>
      <c r="AB6" s="20">
        <f>'伤害统计(理想)'!AB6</f>
        <v>2.5289</v>
      </c>
      <c r="AC6" s="20">
        <f t="shared" si="0"/>
        <v>67583</v>
      </c>
      <c r="AD6" s="20">
        <f t="shared" si="1"/>
        <v>92874</v>
      </c>
      <c r="AE6" s="20">
        <f t="shared" si="2"/>
        <v>100325</v>
      </c>
      <c r="AF6" s="20">
        <f t="shared" si="3"/>
        <v>141214</v>
      </c>
      <c r="AG6" s="20">
        <f t="shared" si="4"/>
        <v>216730</v>
      </c>
      <c r="AH6" s="20">
        <f>INT(AE6*(T6+U6+0.4441+按提示输入属性!D64*0.1953))</f>
        <v>273776</v>
      </c>
      <c r="AI6" s="20">
        <f t="shared" si="5"/>
        <v>80229</v>
      </c>
      <c r="AJ6" s="20">
        <f t="shared" si="6"/>
        <v>187222</v>
      </c>
      <c r="AK6" s="20">
        <f t="shared" si="7"/>
        <v>86666</v>
      </c>
      <c r="AL6" s="20">
        <f t="shared" si="8"/>
        <v>202243</v>
      </c>
      <c r="AM6" s="20">
        <f t="shared" si="9"/>
        <v>234869</v>
      </c>
      <c r="AN6" s="20">
        <f t="shared" si="10"/>
        <v>253711</v>
      </c>
    </row>
    <row r="7" spans="1:40">
      <c r="A7" s="20" t="str">
        <f>'伤害统计(理想)'!A7</f>
        <v>飞剑5</v>
      </c>
      <c r="B7" s="20">
        <f>'伤害统计(理想)'!B7</f>
        <v>50</v>
      </c>
      <c r="C7" s="20">
        <f>'伤害统计(理想)'!C7</f>
        <v>34400</v>
      </c>
      <c r="D7" s="20">
        <f>'伤害统计(理想)'!D7</f>
        <v>45792</v>
      </c>
      <c r="E7" s="20">
        <f>'伤害统计(理想)'!E7</f>
        <v>0.286996875</v>
      </c>
      <c r="F7" s="20">
        <f>'伤害统计(理想)'!F7</f>
        <v>1</v>
      </c>
      <c r="G7" s="20">
        <f>'伤害统计(理想)'!G7</f>
        <v>0.12</v>
      </c>
      <c r="H7" s="20">
        <f>'伤害统计(理想)'!H7</f>
        <v>0.7</v>
      </c>
      <c r="I7" s="20">
        <f>'伤害统计(理想)'!I7</f>
        <v>1.35</v>
      </c>
      <c r="J7" s="20">
        <f>'伤害统计(理想)'!J7</f>
        <v>0.472</v>
      </c>
      <c r="K7" s="20">
        <f>'伤害统计(理想)'!K7</f>
        <v>0.1181</v>
      </c>
      <c r="L7" s="20">
        <f>'伤害统计(理想)'!L7</f>
        <v>0.177214436704937</v>
      </c>
      <c r="M7" s="20">
        <f>'伤害统计(理想)'!M7</f>
        <v>0.3473</v>
      </c>
      <c r="N7" s="20">
        <f>'伤害统计(理想)'!N7</f>
        <v>0.2</v>
      </c>
      <c r="O7" s="20">
        <f>'伤害统计(理想)'!O7</f>
        <v>0.4994</v>
      </c>
      <c r="P7" s="20">
        <f>'伤害统计(理想)'!P7</f>
        <v>0</v>
      </c>
      <c r="Q7" s="20">
        <f>'伤害统计(理想)'!Q7</f>
        <v>0.4994</v>
      </c>
      <c r="R7" s="20">
        <f>'伤害统计(理想)'!R7</f>
        <v>0.2441</v>
      </c>
      <c r="S7" s="20">
        <f>'伤害统计(理想)'!S7</f>
        <v>0.7435</v>
      </c>
      <c r="T7" s="20">
        <f>'伤害统计(理想)'!T7</f>
        <v>2.0895</v>
      </c>
      <c r="U7" s="20">
        <f>'伤害统计(理想)'!U7</f>
        <v>0</v>
      </c>
      <c r="V7" s="20">
        <f>'伤害统计(理想)'!V7</f>
        <v>2.0895</v>
      </c>
      <c r="W7" s="20">
        <f>'伤害统计(理想)'!W7</f>
        <v>0.2441</v>
      </c>
      <c r="X7" s="20">
        <f>'伤害统计(理想)'!X7</f>
        <v>2.3336</v>
      </c>
      <c r="Y7" s="20">
        <f>'伤害统计(理想)'!Y7</f>
        <v>0.2441</v>
      </c>
      <c r="Z7" s="20">
        <f>'伤害统计(理想)'!Z7</f>
        <v>2.3336</v>
      </c>
      <c r="AA7" s="20">
        <f>'伤害统计(理想)'!AA7</f>
        <v>0.1953</v>
      </c>
      <c r="AB7" s="20">
        <f>'伤害统计(理想)'!AB7</f>
        <v>2.5289</v>
      </c>
      <c r="AC7" s="20">
        <f t="shared" si="0"/>
        <v>73654</v>
      </c>
      <c r="AD7" s="20">
        <f t="shared" si="1"/>
        <v>101216</v>
      </c>
      <c r="AE7" s="20">
        <f t="shared" si="2"/>
        <v>109336</v>
      </c>
      <c r="AF7" s="20">
        <f t="shared" si="3"/>
        <v>153900</v>
      </c>
      <c r="AG7" s="20">
        <f t="shared" si="4"/>
        <v>236197</v>
      </c>
      <c r="AH7" s="20">
        <f>INT(AE7*(T7+U7+0.4441+按提示输入属性!D64*0.1953))</f>
        <v>298367</v>
      </c>
      <c r="AI7" s="20">
        <f t="shared" si="5"/>
        <v>87435</v>
      </c>
      <c r="AJ7" s="20">
        <f t="shared" si="6"/>
        <v>204038</v>
      </c>
      <c r="AK7" s="20">
        <f t="shared" si="7"/>
        <v>94450</v>
      </c>
      <c r="AL7" s="20">
        <f t="shared" si="8"/>
        <v>220408</v>
      </c>
      <c r="AM7" s="20">
        <f t="shared" si="9"/>
        <v>255965</v>
      </c>
      <c r="AN7" s="20">
        <f t="shared" si="10"/>
        <v>276499</v>
      </c>
    </row>
    <row r="8" s="20" customFormat="1" spans="1:40">
      <c r="A8" s="20" t="str">
        <f>'伤害统计(理想)'!A8</f>
        <v>颠越苍穹击</v>
      </c>
      <c r="B8" s="20">
        <f>'伤害统计(理想)'!B8</f>
        <v>1090</v>
      </c>
      <c r="C8" s="20">
        <f>'伤害统计(理想)'!C8</f>
        <v>34400</v>
      </c>
      <c r="D8" s="20">
        <f>'伤害统计(理想)'!D8</f>
        <v>45792</v>
      </c>
      <c r="E8" s="20">
        <f>'伤害统计(理想)'!E8</f>
        <v>0.7239</v>
      </c>
      <c r="F8" s="20">
        <f>'伤害统计(理想)'!F8</f>
        <v>1</v>
      </c>
      <c r="G8" s="20">
        <f>'伤害统计(理想)'!G8</f>
        <v>0</v>
      </c>
      <c r="H8" s="20">
        <f>'伤害统计(理想)'!H8</f>
        <v>0</v>
      </c>
      <c r="I8" s="20">
        <f>'伤害统计(理想)'!I8</f>
        <v>0.05</v>
      </c>
      <c r="J8" s="20">
        <f>'伤害统计(理想)'!J8</f>
        <v>0.472</v>
      </c>
      <c r="K8" s="20">
        <f>'伤害统计(理想)'!K8</f>
        <v>0.1181</v>
      </c>
      <c r="L8" s="20">
        <f>'伤害统计(理想)'!L8</f>
        <v>0.177214436704937</v>
      </c>
      <c r="M8" s="20">
        <f>'伤害统计(理想)'!M8</f>
        <v>0.3473</v>
      </c>
      <c r="N8" s="20">
        <f>'伤害统计(理想)'!N8</f>
        <v>0.2</v>
      </c>
      <c r="O8" s="20">
        <f>'伤害统计(理想)'!O8</f>
        <v>0.4994</v>
      </c>
      <c r="P8" s="20">
        <f>'伤害统计(理想)'!P8</f>
        <v>0</v>
      </c>
      <c r="Q8" s="20">
        <f>'伤害统计(理想)'!Q8</f>
        <v>0.4994</v>
      </c>
      <c r="R8" s="20">
        <f>'伤害统计(理想)'!R8</f>
        <v>0.2441</v>
      </c>
      <c r="S8" s="20">
        <f>'伤害统计(理想)'!S8</f>
        <v>0.7435</v>
      </c>
      <c r="T8" s="20">
        <f>'伤害统计(理想)'!T8</f>
        <v>2.0895</v>
      </c>
      <c r="U8" s="20">
        <f>'伤害统计(理想)'!U8</f>
        <v>0</v>
      </c>
      <c r="V8" s="20">
        <f>'伤害统计(理想)'!V8</f>
        <v>2.0895</v>
      </c>
      <c r="W8" s="20">
        <f>'伤害统计(理想)'!W8</f>
        <v>0.2441</v>
      </c>
      <c r="X8" s="20">
        <f>'伤害统计(理想)'!X8</f>
        <v>2.3336</v>
      </c>
      <c r="Y8" s="20">
        <f>'伤害统计(理想)'!Y8</f>
        <v>0.2441</v>
      </c>
      <c r="Z8" s="20">
        <f>'伤害统计(理想)'!Z8</f>
        <v>2.3336</v>
      </c>
      <c r="AA8" s="20">
        <f>'伤害统计(理想)'!AA8</f>
        <v>0.1953</v>
      </c>
      <c r="AB8" s="20">
        <f>'伤害统计(理想)'!AB8</f>
        <v>2.5289</v>
      </c>
      <c r="AC8" s="20">
        <f t="shared" si="0"/>
        <v>46929</v>
      </c>
      <c r="AD8" s="20">
        <f t="shared" si="1"/>
        <v>63997</v>
      </c>
      <c r="AE8" s="20">
        <f t="shared" si="2"/>
        <v>69131</v>
      </c>
      <c r="AF8" s="20">
        <f t="shared" si="3"/>
        <v>98058</v>
      </c>
      <c r="AG8" s="20">
        <f t="shared" si="4"/>
        <v>149343</v>
      </c>
      <c r="AH8" s="20">
        <f t="shared" ref="AH8:AH14" si="11">INT(AE8*(T8+U8+0.4441))</f>
        <v>175150</v>
      </c>
      <c r="AI8" s="20">
        <f t="shared" si="5"/>
        <v>55463</v>
      </c>
      <c r="AJ8" s="20">
        <f t="shared" si="6"/>
        <v>129428</v>
      </c>
      <c r="AK8" s="20">
        <f t="shared" si="7"/>
        <v>59913</v>
      </c>
      <c r="AL8" s="20">
        <f t="shared" si="8"/>
        <v>139812</v>
      </c>
      <c r="AM8" s="20">
        <f t="shared" si="9"/>
        <v>161842</v>
      </c>
      <c r="AN8" s="20">
        <f t="shared" si="10"/>
        <v>174825</v>
      </c>
    </row>
    <row r="9" s="20" customFormat="1" spans="1:40">
      <c r="A9" s="20" t="str">
        <f>'伤害统计(理想)'!A9</f>
        <v>五方行尽</v>
      </c>
      <c r="B9" s="20">
        <f>'伤害统计(理想)'!B9</f>
        <v>51</v>
      </c>
      <c r="C9" s="20">
        <f>'伤害统计(理想)'!C9</f>
        <v>34400</v>
      </c>
      <c r="D9" s="20">
        <f>'伤害统计(理想)'!D9</f>
        <v>45792</v>
      </c>
      <c r="E9" s="20">
        <f>'伤害统计(理想)'!E9</f>
        <v>0.5453</v>
      </c>
      <c r="F9" s="20">
        <f>'伤害统计(理想)'!F9</f>
        <v>1</v>
      </c>
      <c r="G9" s="20">
        <f>'伤害统计(理想)'!G9</f>
        <v>0</v>
      </c>
      <c r="H9" s="20">
        <f>'伤害统计(理想)'!H9</f>
        <v>0</v>
      </c>
      <c r="I9" s="20">
        <f>'伤害统计(理想)'!I9</f>
        <v>0.05</v>
      </c>
      <c r="J9" s="20">
        <f>'伤害统计(理想)'!J9</f>
        <v>0.472</v>
      </c>
      <c r="K9" s="20">
        <f>'伤害统计(理想)'!K9</f>
        <v>0.1181</v>
      </c>
      <c r="L9" s="20">
        <f>'伤害统计(理想)'!L9</f>
        <v>0.177214436704937</v>
      </c>
      <c r="M9" s="20">
        <f>'伤害统计(理想)'!M9</f>
        <v>0.3473</v>
      </c>
      <c r="N9" s="20">
        <f>'伤害统计(理想)'!N9</f>
        <v>0.2</v>
      </c>
      <c r="O9" s="20">
        <f>'伤害统计(理想)'!O9</f>
        <v>0.4994</v>
      </c>
      <c r="P9" s="20">
        <f>'伤害统计(理想)'!P9</f>
        <v>0</v>
      </c>
      <c r="Q9" s="20">
        <f>'伤害统计(理想)'!Q9</f>
        <v>0.4994</v>
      </c>
      <c r="R9" s="20">
        <f>'伤害统计(理想)'!R9</f>
        <v>0.2441</v>
      </c>
      <c r="S9" s="20">
        <f>'伤害统计(理想)'!S9</f>
        <v>0.7435</v>
      </c>
      <c r="T9" s="20">
        <f>'伤害统计(理想)'!T9</f>
        <v>2.0895</v>
      </c>
      <c r="U9" s="20">
        <f>'伤害统计(理想)'!U9</f>
        <v>0</v>
      </c>
      <c r="V9" s="20">
        <f>'伤害统计(理想)'!V9</f>
        <v>2.0895</v>
      </c>
      <c r="W9" s="20">
        <f>'伤害统计(理想)'!W9</f>
        <v>0.2441</v>
      </c>
      <c r="X9" s="20">
        <f>'伤害统计(理想)'!X9</f>
        <v>2.3336</v>
      </c>
      <c r="Y9" s="20">
        <f>'伤害统计(理想)'!Y9</f>
        <v>0.2441</v>
      </c>
      <c r="Z9" s="20">
        <f>'伤害统计(理想)'!Z9</f>
        <v>2.3336</v>
      </c>
      <c r="AA9" s="20">
        <f>'伤害统计(理想)'!AA9</f>
        <v>0.1953</v>
      </c>
      <c r="AB9" s="20">
        <f>'伤害统计(理想)'!AB9</f>
        <v>2.5289</v>
      </c>
      <c r="AC9" s="20">
        <f t="shared" si="0"/>
        <v>34295</v>
      </c>
      <c r="AD9" s="20">
        <f t="shared" si="1"/>
        <v>47152</v>
      </c>
      <c r="AE9" s="20">
        <f t="shared" si="2"/>
        <v>50935</v>
      </c>
      <c r="AF9" s="20">
        <f t="shared" si="3"/>
        <v>71659</v>
      </c>
      <c r="AG9" s="20">
        <f t="shared" si="4"/>
        <v>110033</v>
      </c>
      <c r="AH9" s="20">
        <f t="shared" si="11"/>
        <v>129048</v>
      </c>
      <c r="AI9" s="20">
        <f t="shared" si="5"/>
        <v>40724</v>
      </c>
      <c r="AJ9" s="20">
        <f t="shared" si="6"/>
        <v>95033</v>
      </c>
      <c r="AK9" s="20">
        <f t="shared" si="7"/>
        <v>43991</v>
      </c>
      <c r="AL9" s="20">
        <f t="shared" si="8"/>
        <v>102657</v>
      </c>
      <c r="AM9" s="20">
        <f t="shared" si="9"/>
        <v>119242</v>
      </c>
      <c r="AN9" s="20">
        <f t="shared" si="10"/>
        <v>128809</v>
      </c>
    </row>
    <row r="10" spans="1:40">
      <c r="A10" s="20" t="str">
        <f>'伤害统计(理想)'!A10</f>
        <v>四象轮回</v>
      </c>
      <c r="B10" s="20">
        <f>'伤害统计(理想)'!B10</f>
        <v>1000</v>
      </c>
      <c r="C10" s="20">
        <f>'伤害统计(理想)'!C10</f>
        <v>34400</v>
      </c>
      <c r="D10" s="20">
        <f>'伤害统计(理想)'!D10</f>
        <v>45792</v>
      </c>
      <c r="E10" s="20">
        <f>'伤害统计(理想)'!E10</f>
        <v>2.29640625</v>
      </c>
      <c r="F10" s="20">
        <f>'伤害统计(理想)'!F10</f>
        <v>1</v>
      </c>
      <c r="G10" s="20">
        <f>'伤害统计(理想)'!G10</f>
        <v>0</v>
      </c>
      <c r="H10" s="20">
        <f>'伤害统计(理想)'!H10</f>
        <v>0.2</v>
      </c>
      <c r="I10" s="20">
        <f>'伤害统计(理想)'!I10</f>
        <v>0.05</v>
      </c>
      <c r="J10" s="20">
        <f>'伤害统计(理想)'!J10</f>
        <v>0.472</v>
      </c>
      <c r="K10" s="20">
        <f>'伤害统计(理想)'!K10</f>
        <v>0.1181</v>
      </c>
      <c r="L10" s="20">
        <f>'伤害统计(理想)'!L10</f>
        <v>0.177214436704937</v>
      </c>
      <c r="M10" s="20">
        <f>'伤害统计(理想)'!M10</f>
        <v>0.3473</v>
      </c>
      <c r="N10" s="20">
        <f>'伤害统计(理想)'!N10</f>
        <v>0.2</v>
      </c>
      <c r="O10" s="20">
        <f>'伤害统计(理想)'!O10</f>
        <v>0.4994</v>
      </c>
      <c r="P10" s="20">
        <f>'伤害统计(理想)'!P10</f>
        <v>0.17</v>
      </c>
      <c r="Q10" s="20">
        <f>'伤害统计(理想)'!Q10</f>
        <v>0.6694</v>
      </c>
      <c r="R10" s="20">
        <f>'伤害统计(理想)'!R10</f>
        <v>0.2441</v>
      </c>
      <c r="S10" s="20">
        <f>'伤害统计(理想)'!S10</f>
        <v>0.9135</v>
      </c>
      <c r="T10" s="20">
        <f>'伤害统计(理想)'!T10</f>
        <v>2.0895</v>
      </c>
      <c r="U10" s="20">
        <f>'伤害统计(理想)'!U10</f>
        <v>0.1</v>
      </c>
      <c r="V10" s="20">
        <f>'伤害统计(理想)'!V10</f>
        <v>2.1895</v>
      </c>
      <c r="W10" s="20">
        <f>'伤害统计(理想)'!W10</f>
        <v>0.2441</v>
      </c>
      <c r="X10" s="20">
        <f>'伤害统计(理想)'!X10</f>
        <v>2.4336</v>
      </c>
      <c r="Y10" s="20">
        <f>'伤害统计(理想)'!Y10</f>
        <v>0.2441</v>
      </c>
      <c r="Z10" s="20">
        <f>'伤害统计(理想)'!Z10</f>
        <v>2.4336</v>
      </c>
      <c r="AA10" s="20">
        <f>'伤害统计(理想)'!AA10</f>
        <v>0.1953</v>
      </c>
      <c r="AB10" s="20">
        <f>'伤害统计(理想)'!AB10</f>
        <v>2.6289</v>
      </c>
      <c r="AC10" s="20">
        <f t="shared" si="0"/>
        <v>174609</v>
      </c>
      <c r="AD10" s="20">
        <f t="shared" si="1"/>
        <v>239577</v>
      </c>
      <c r="AE10" s="20">
        <f t="shared" si="2"/>
        <v>258798</v>
      </c>
      <c r="AF10" s="20">
        <f t="shared" si="3"/>
        <v>382306</v>
      </c>
      <c r="AG10" s="20">
        <f t="shared" si="4"/>
        <v>583034</v>
      </c>
      <c r="AH10" s="20">
        <f t="shared" si="11"/>
        <v>681570</v>
      </c>
      <c r="AI10" s="20">
        <f t="shared" si="5"/>
        <v>207093</v>
      </c>
      <c r="AJ10" s="20">
        <f t="shared" si="6"/>
        <v>503981</v>
      </c>
      <c r="AK10" s="20">
        <f t="shared" si="7"/>
        <v>223708</v>
      </c>
      <c r="AL10" s="20">
        <f t="shared" si="8"/>
        <v>544415</v>
      </c>
      <c r="AM10" s="20">
        <f t="shared" si="9"/>
        <v>629823</v>
      </c>
      <c r="AN10" s="20">
        <f t="shared" si="10"/>
        <v>680354</v>
      </c>
    </row>
    <row r="11" spans="1:40">
      <c r="A11" s="20" t="str">
        <f>'伤害统计(理想)'!A11</f>
        <v>两仪化形</v>
      </c>
      <c r="B11" s="20">
        <f>'伤害统计(理想)'!B11</f>
        <v>2739</v>
      </c>
      <c r="C11" s="20">
        <f>'伤害统计(理想)'!C11</f>
        <v>34400</v>
      </c>
      <c r="D11" s="20">
        <f>'伤害统计(理想)'!D11</f>
        <v>45792</v>
      </c>
      <c r="E11" s="20">
        <f>'伤害统计(理想)'!E11</f>
        <v>2.000625</v>
      </c>
      <c r="F11" s="20">
        <f>'伤害统计(理想)'!F11</f>
        <v>1</v>
      </c>
      <c r="G11" s="20">
        <f>'伤害统计(理想)'!G11</f>
        <v>0.09</v>
      </c>
      <c r="H11" s="20">
        <f>'伤害统计(理想)'!H11</f>
        <v>0.2</v>
      </c>
      <c r="I11" s="20">
        <f>'伤害统计(理想)'!I11</f>
        <v>0.05</v>
      </c>
      <c r="J11" s="20">
        <f>'伤害统计(理想)'!J11</f>
        <v>0.472</v>
      </c>
      <c r="K11" s="20">
        <f>'伤害统计(理想)'!K11</f>
        <v>0.1181</v>
      </c>
      <c r="L11" s="20">
        <f>'伤害统计(理想)'!L11</f>
        <v>0.177214436704937</v>
      </c>
      <c r="M11" s="20">
        <f>'伤害统计(理想)'!M11</f>
        <v>0.3473</v>
      </c>
      <c r="N11" s="20">
        <f>'伤害统计(理想)'!N11</f>
        <v>0.2</v>
      </c>
      <c r="O11" s="20">
        <f>'伤害统计(理想)'!O11</f>
        <v>0.4994</v>
      </c>
      <c r="P11" s="20">
        <f>'伤害统计(理想)'!P11</f>
        <v>0.04</v>
      </c>
      <c r="Q11" s="20">
        <f>'伤害统计(理想)'!Q11</f>
        <v>0.5394</v>
      </c>
      <c r="R11" s="20">
        <f>'伤害统计(理想)'!R11</f>
        <v>0.2441</v>
      </c>
      <c r="S11" s="20">
        <f>'伤害统计(理想)'!S11</f>
        <v>0.7835</v>
      </c>
      <c r="T11" s="20">
        <f>'伤害统计(理想)'!T11</f>
        <v>2.0895</v>
      </c>
      <c r="U11" s="20">
        <f>'伤害统计(理想)'!U11</f>
        <v>0</v>
      </c>
      <c r="V11" s="20">
        <f>'伤害统计(理想)'!V11</f>
        <v>2.0895</v>
      </c>
      <c r="W11" s="20">
        <f>'伤害统计(理想)'!W11</f>
        <v>0.2441</v>
      </c>
      <c r="X11" s="20">
        <f>'伤害统计(理想)'!X11</f>
        <v>2.3336</v>
      </c>
      <c r="Y11" s="20">
        <f>'伤害统计(理想)'!Y11</f>
        <v>0.2441</v>
      </c>
      <c r="Z11" s="20">
        <f>'伤害统计(理想)'!Z11</f>
        <v>2.3336</v>
      </c>
      <c r="AA11" s="20">
        <f>'伤害统计(理想)'!AA11</f>
        <v>0.1953</v>
      </c>
      <c r="AB11" s="20">
        <f>'伤害统计(理想)'!AB11</f>
        <v>2.5289</v>
      </c>
      <c r="AC11" s="20">
        <f t="shared" si="0"/>
        <v>166830</v>
      </c>
      <c r="AD11" s="20">
        <f t="shared" si="1"/>
        <v>227675</v>
      </c>
      <c r="AE11" s="20">
        <f t="shared" si="2"/>
        <v>245942</v>
      </c>
      <c r="AF11" s="20">
        <f t="shared" si="3"/>
        <v>348591</v>
      </c>
      <c r="AG11" s="20">
        <f t="shared" si="4"/>
        <v>531302</v>
      </c>
      <c r="AH11" s="20">
        <f t="shared" si="11"/>
        <v>623118</v>
      </c>
      <c r="AI11" s="20">
        <f t="shared" si="5"/>
        <v>197253</v>
      </c>
      <c r="AJ11" s="20">
        <f t="shared" si="6"/>
        <v>460309</v>
      </c>
      <c r="AK11" s="20">
        <f t="shared" si="7"/>
        <v>213079</v>
      </c>
      <c r="AL11" s="20">
        <f t="shared" si="8"/>
        <v>497241</v>
      </c>
      <c r="AM11" s="20">
        <f t="shared" si="9"/>
        <v>575767</v>
      </c>
      <c r="AN11" s="20">
        <f t="shared" si="10"/>
        <v>621962</v>
      </c>
    </row>
    <row r="12" spans="1:40">
      <c r="A12" s="20" t="str">
        <f>'伤害统计(理想)'!A12</f>
        <v>两仪化形(4</v>
      </c>
      <c r="B12" s="20">
        <f>'伤害统计(理想)'!B12</f>
        <v>2466</v>
      </c>
      <c r="C12" s="20">
        <f>'伤害统计(理想)'!C12</f>
        <v>34400</v>
      </c>
      <c r="D12" s="20">
        <f>'伤害统计(理想)'!D12</f>
        <v>45792</v>
      </c>
      <c r="E12" s="20">
        <f>'伤害统计(理想)'!E12</f>
        <v>1.654186908</v>
      </c>
      <c r="F12" s="20">
        <f>'伤害统计(理想)'!F12</f>
        <v>1</v>
      </c>
      <c r="G12" s="20">
        <f>'伤害统计(理想)'!G12</f>
        <v>0.09</v>
      </c>
      <c r="H12" s="20">
        <f>'伤害统计(理想)'!H12</f>
        <v>0.2</v>
      </c>
      <c r="I12" s="20">
        <f>'伤害统计(理想)'!I12</f>
        <v>0.05</v>
      </c>
      <c r="J12" s="20">
        <f>'伤害统计(理想)'!J12</f>
        <v>0.472</v>
      </c>
      <c r="K12" s="20">
        <f>'伤害统计(理想)'!K12</f>
        <v>0.1181</v>
      </c>
      <c r="L12" s="20">
        <f>'伤害统计(理想)'!L12</f>
        <v>0.177214436704937</v>
      </c>
      <c r="M12" s="20">
        <f>'伤害统计(理想)'!M12</f>
        <v>0.3473</v>
      </c>
      <c r="N12" s="20">
        <f>'伤害统计(理想)'!N12</f>
        <v>0.2</v>
      </c>
      <c r="O12" s="20">
        <f>'伤害统计(理想)'!O12</f>
        <v>0.4994</v>
      </c>
      <c r="P12" s="20">
        <f>'伤害统计(理想)'!P12</f>
        <v>0.04</v>
      </c>
      <c r="Q12" s="20">
        <f>'伤害统计(理想)'!Q12</f>
        <v>0.5394</v>
      </c>
      <c r="R12" s="20">
        <f>'伤害统计(理想)'!R12</f>
        <v>0.2441</v>
      </c>
      <c r="S12" s="20">
        <f>'伤害统计(理想)'!S12</f>
        <v>0.7835</v>
      </c>
      <c r="T12" s="20">
        <f>'伤害统计(理想)'!T12</f>
        <v>2.0895</v>
      </c>
      <c r="U12" s="20">
        <f>'伤害统计(理想)'!U12</f>
        <v>0</v>
      </c>
      <c r="V12" s="20">
        <f>'伤害统计(理想)'!V12</f>
        <v>2.0895</v>
      </c>
      <c r="W12" s="20">
        <f>'伤害统计(理想)'!W12</f>
        <v>0.2441</v>
      </c>
      <c r="X12" s="20">
        <f>'伤害统计(理想)'!X12</f>
        <v>2.3336</v>
      </c>
      <c r="Y12" s="20">
        <f>'伤害统计(理想)'!Y12</f>
        <v>0.2441</v>
      </c>
      <c r="Z12" s="20">
        <f>'伤害统计(理想)'!Z12</f>
        <v>2.3336</v>
      </c>
      <c r="AA12" s="20">
        <f>'伤害统计(理想)'!AA12</f>
        <v>0.1953</v>
      </c>
      <c r="AB12" s="20">
        <f>'伤害统计(理想)'!AB12</f>
        <v>2.5289</v>
      </c>
      <c r="AC12" s="20">
        <f t="shared" si="0"/>
        <v>138296</v>
      </c>
      <c r="AD12" s="20">
        <f t="shared" si="1"/>
        <v>188606</v>
      </c>
      <c r="AE12" s="20">
        <f t="shared" si="2"/>
        <v>203738</v>
      </c>
      <c r="AF12" s="20">
        <f t="shared" si="3"/>
        <v>288969</v>
      </c>
      <c r="AG12" s="20">
        <f t="shared" si="4"/>
        <v>440130</v>
      </c>
      <c r="AH12" s="20">
        <f t="shared" si="11"/>
        <v>516190</v>
      </c>
      <c r="AI12" s="20">
        <f t="shared" si="5"/>
        <v>163451</v>
      </c>
      <c r="AJ12" s="20">
        <f t="shared" si="6"/>
        <v>381429</v>
      </c>
      <c r="AK12" s="20">
        <f t="shared" si="7"/>
        <v>176565</v>
      </c>
      <c r="AL12" s="20">
        <f t="shared" si="8"/>
        <v>412032</v>
      </c>
      <c r="AM12" s="20">
        <f t="shared" si="9"/>
        <v>476965</v>
      </c>
      <c r="AN12" s="20">
        <f t="shared" si="10"/>
        <v>515233</v>
      </c>
    </row>
    <row r="13" spans="1:40">
      <c r="A13" s="20" t="str">
        <f>'伤害统计(理想)'!A13</f>
        <v>两仪化形(3.5</v>
      </c>
      <c r="B13" s="20">
        <f>'伤害统计(理想)'!B13</f>
        <v>2191</v>
      </c>
      <c r="C13" s="20">
        <f>'伤害统计(理想)'!C13</f>
        <v>34400</v>
      </c>
      <c r="D13" s="20">
        <f>'伤害统计(理想)'!D13</f>
        <v>45792</v>
      </c>
      <c r="E13" s="20">
        <f>'伤害统计(理想)'!E13</f>
        <v>1.4586550308</v>
      </c>
      <c r="F13" s="20">
        <f>'伤害统计(理想)'!F13</f>
        <v>1</v>
      </c>
      <c r="G13" s="20">
        <f>'伤害统计(理想)'!G13</f>
        <v>0.09</v>
      </c>
      <c r="H13" s="20">
        <f>'伤害统计(理想)'!H13</f>
        <v>0.2</v>
      </c>
      <c r="I13" s="20">
        <f>'伤害统计(理想)'!I13</f>
        <v>0.05</v>
      </c>
      <c r="J13" s="20">
        <f>'伤害统计(理想)'!J13</f>
        <v>0.472</v>
      </c>
      <c r="K13" s="20">
        <f>'伤害统计(理想)'!K13</f>
        <v>0.1181</v>
      </c>
      <c r="L13" s="20">
        <f>'伤害统计(理想)'!L13</f>
        <v>0.177214436704937</v>
      </c>
      <c r="M13" s="20">
        <f>'伤害统计(理想)'!M13</f>
        <v>0.3473</v>
      </c>
      <c r="N13" s="20">
        <f>'伤害统计(理想)'!N13</f>
        <v>0.2</v>
      </c>
      <c r="O13" s="20">
        <f>'伤害统计(理想)'!O13</f>
        <v>0.4994</v>
      </c>
      <c r="P13" s="20">
        <f>'伤害统计(理想)'!P13</f>
        <v>0.04</v>
      </c>
      <c r="Q13" s="20">
        <f>'伤害统计(理想)'!Q13</f>
        <v>0.5394</v>
      </c>
      <c r="R13" s="20">
        <f>'伤害统计(理想)'!R13</f>
        <v>0.2441</v>
      </c>
      <c r="S13" s="20">
        <f>'伤害统计(理想)'!S13</f>
        <v>0.7835</v>
      </c>
      <c r="T13" s="20">
        <f>'伤害统计(理想)'!T13</f>
        <v>2.0895</v>
      </c>
      <c r="U13" s="20">
        <f>'伤害统计(理想)'!U13</f>
        <v>0</v>
      </c>
      <c r="V13" s="20">
        <f>'伤害统计(理想)'!V13</f>
        <v>2.0895</v>
      </c>
      <c r="W13" s="20">
        <f>'伤害统计(理想)'!W13</f>
        <v>0.2441</v>
      </c>
      <c r="X13" s="20">
        <f>'伤害统计(理想)'!X13</f>
        <v>2.3336</v>
      </c>
      <c r="Y13" s="20">
        <f>'伤害统计(理想)'!Y13</f>
        <v>0.2441</v>
      </c>
      <c r="Z13" s="20">
        <f>'伤害统计(理想)'!Z13</f>
        <v>2.3336</v>
      </c>
      <c r="AA13" s="20">
        <f>'伤害统计(理想)'!AA13</f>
        <v>0.1953</v>
      </c>
      <c r="AB13" s="20">
        <f>'伤害统计(理想)'!AB13</f>
        <v>2.5289</v>
      </c>
      <c r="AC13" s="20">
        <f t="shared" si="0"/>
        <v>121978</v>
      </c>
      <c r="AD13" s="20">
        <f t="shared" si="1"/>
        <v>166341</v>
      </c>
      <c r="AE13" s="20">
        <f t="shared" si="2"/>
        <v>179687</v>
      </c>
      <c r="AF13" s="20">
        <f t="shared" si="3"/>
        <v>254873</v>
      </c>
      <c r="AG13" s="20">
        <f t="shared" si="4"/>
        <v>388173</v>
      </c>
      <c r="AH13" s="20">
        <f t="shared" si="11"/>
        <v>455254</v>
      </c>
      <c r="AI13" s="20">
        <f t="shared" si="5"/>
        <v>144160</v>
      </c>
      <c r="AJ13" s="20">
        <f t="shared" si="6"/>
        <v>336411</v>
      </c>
      <c r="AK13" s="20">
        <f t="shared" si="7"/>
        <v>155726</v>
      </c>
      <c r="AL13" s="20">
        <f t="shared" si="8"/>
        <v>363402</v>
      </c>
      <c r="AM13" s="20">
        <f t="shared" si="9"/>
        <v>420659</v>
      </c>
      <c r="AN13" s="20">
        <f t="shared" si="10"/>
        <v>454410</v>
      </c>
    </row>
    <row r="14" spans="1:40">
      <c r="A14" s="20" t="str">
        <f>'伤害统计(理想)'!A14</f>
        <v>六合1</v>
      </c>
      <c r="B14" s="20">
        <f>'伤害统计(理想)'!B14</f>
        <v>90</v>
      </c>
      <c r="C14" s="20">
        <f>'伤害统计(理想)'!C14</f>
        <v>34400</v>
      </c>
      <c r="D14" s="20">
        <f>'伤害统计(理想)'!D14</f>
        <v>45792</v>
      </c>
      <c r="E14" s="20">
        <f>'伤害统计(理想)'!E14</f>
        <v>0.854167</v>
      </c>
      <c r="F14" s="20">
        <f>'伤害统计(理想)'!F14</f>
        <v>1</v>
      </c>
      <c r="G14" s="20">
        <f>'伤害统计(理想)'!G14</f>
        <v>0</v>
      </c>
      <c r="H14" s="20">
        <f>'伤害统计(理想)'!H14</f>
        <v>0</v>
      </c>
      <c r="I14" s="20">
        <f>'伤害统计(理想)'!I14</f>
        <v>0.05</v>
      </c>
      <c r="J14" s="20">
        <f>'伤害统计(理想)'!J14</f>
        <v>0.472</v>
      </c>
      <c r="K14" s="20">
        <f>'伤害统计(理想)'!K14</f>
        <v>0.1181</v>
      </c>
      <c r="L14" s="20">
        <f>'伤害统计(理想)'!L14</f>
        <v>0.177214436704937</v>
      </c>
      <c r="M14" s="20">
        <f>'伤害统计(理想)'!M14</f>
        <v>0.3473</v>
      </c>
      <c r="N14" s="20">
        <f>'伤害统计(理想)'!N14</f>
        <v>0.2</v>
      </c>
      <c r="O14" s="20">
        <f>'伤害统计(理想)'!O14</f>
        <v>0.4994</v>
      </c>
      <c r="P14" s="20">
        <f>'伤害统计(理想)'!P14</f>
        <v>0</v>
      </c>
      <c r="Q14" s="20">
        <f>'伤害统计(理想)'!Q14</f>
        <v>0.4994</v>
      </c>
      <c r="R14" s="20">
        <f>'伤害统计(理想)'!R14</f>
        <v>0.2441</v>
      </c>
      <c r="S14" s="20">
        <f>'伤害统计(理想)'!S14</f>
        <v>0.7435</v>
      </c>
      <c r="T14" s="20">
        <f>'伤害统计(理想)'!T14</f>
        <v>2.0895</v>
      </c>
      <c r="U14" s="20">
        <f>'伤害统计(理想)'!U14</f>
        <v>0</v>
      </c>
      <c r="V14" s="20">
        <f>'伤害统计(理想)'!V14</f>
        <v>2.0895</v>
      </c>
      <c r="W14" s="20">
        <f>'伤害统计(理想)'!W14</f>
        <v>0.2441</v>
      </c>
      <c r="X14" s="20">
        <f>'伤害统计(理想)'!X14</f>
        <v>2.3336</v>
      </c>
      <c r="Y14" s="20">
        <f>'伤害统计(理想)'!Y14</f>
        <v>0.2441</v>
      </c>
      <c r="Z14" s="20">
        <f>'伤害统计(理想)'!Z14</f>
        <v>2.3336</v>
      </c>
      <c r="AA14" s="20">
        <f>'伤害统计(理想)'!AA14</f>
        <v>0.1953</v>
      </c>
      <c r="AB14" s="20">
        <f>'伤害统计(理想)'!AB14</f>
        <v>2.5289</v>
      </c>
      <c r="AC14" s="20">
        <f t="shared" si="0"/>
        <v>53736</v>
      </c>
      <c r="AD14" s="20">
        <f t="shared" si="1"/>
        <v>73874</v>
      </c>
      <c r="AE14" s="20">
        <f t="shared" si="2"/>
        <v>79801</v>
      </c>
      <c r="AF14" s="20">
        <f t="shared" si="3"/>
        <v>112281</v>
      </c>
      <c r="AG14" s="20">
        <f t="shared" si="4"/>
        <v>172392</v>
      </c>
      <c r="AH14" s="20">
        <f t="shared" si="11"/>
        <v>202183</v>
      </c>
      <c r="AI14" s="20">
        <f t="shared" si="5"/>
        <v>63805</v>
      </c>
      <c r="AJ14" s="20">
        <f t="shared" si="6"/>
        <v>148895</v>
      </c>
      <c r="AK14" s="20">
        <f t="shared" si="7"/>
        <v>68924</v>
      </c>
      <c r="AL14" s="20">
        <f t="shared" si="8"/>
        <v>160841</v>
      </c>
      <c r="AM14" s="20">
        <f t="shared" si="9"/>
        <v>186819</v>
      </c>
      <c r="AN14" s="20">
        <f t="shared" si="10"/>
        <v>201808</v>
      </c>
    </row>
    <row r="15" spans="1:40">
      <c r="A15" s="20" t="str">
        <f>'伤害统计(理想)'!A15</f>
        <v>六合2</v>
      </c>
      <c r="B15" s="20">
        <f>'伤害统计(理想)'!B15</f>
        <v>90</v>
      </c>
      <c r="C15" s="20">
        <f>'伤害统计(理想)'!C15</f>
        <v>34400</v>
      </c>
      <c r="D15" s="20">
        <f>'伤害统计(理想)'!D15</f>
        <v>45792</v>
      </c>
      <c r="E15" s="20">
        <f>'伤害统计(理想)'!E15</f>
        <v>0.854167</v>
      </c>
      <c r="F15" s="20">
        <f>'伤害统计(理想)'!F15</f>
        <v>1</v>
      </c>
      <c r="G15" s="20">
        <f>'伤害统计(理想)'!G15</f>
        <v>0</v>
      </c>
      <c r="H15" s="20">
        <f>'伤害统计(理想)'!H15</f>
        <v>0.35</v>
      </c>
      <c r="I15" s="20">
        <f>'伤害统计(理想)'!I15</f>
        <v>0.05</v>
      </c>
      <c r="J15" s="20">
        <f>'伤害统计(理想)'!J15</f>
        <v>0.472</v>
      </c>
      <c r="K15" s="20">
        <f>'伤害统计(理想)'!K15</f>
        <v>0.1181</v>
      </c>
      <c r="L15" s="20">
        <f>'伤害统计(理想)'!L15</f>
        <v>0.177214436704937</v>
      </c>
      <c r="M15" s="20">
        <f>'伤害统计(理想)'!M15</f>
        <v>0.3473</v>
      </c>
      <c r="N15" s="20">
        <f>'伤害统计(理想)'!N15</f>
        <v>0.2</v>
      </c>
      <c r="O15" s="20">
        <f>'伤害统计(理想)'!O15</f>
        <v>0.4994</v>
      </c>
      <c r="P15" s="20">
        <f>'伤害统计(理想)'!P15</f>
        <v>0</v>
      </c>
      <c r="Q15" s="20">
        <f>'伤害统计(理想)'!Q15</f>
        <v>0.4994</v>
      </c>
      <c r="R15" s="20">
        <f>'伤害统计(理想)'!R15</f>
        <v>0.2441</v>
      </c>
      <c r="S15" s="20">
        <f>'伤害统计(理想)'!S15</f>
        <v>0.7435</v>
      </c>
      <c r="T15" s="20">
        <f>'伤害统计(理想)'!T15</f>
        <v>2.0895</v>
      </c>
      <c r="U15" s="20">
        <f>'伤害统计(理想)'!U15</f>
        <v>0</v>
      </c>
      <c r="V15" s="20">
        <f>'伤害统计(理想)'!V15</f>
        <v>2.0895</v>
      </c>
      <c r="W15" s="20">
        <f>'伤害统计(理想)'!W15</f>
        <v>0.2441</v>
      </c>
      <c r="X15" s="20">
        <f>'伤害统计(理想)'!X15</f>
        <v>2.3336</v>
      </c>
      <c r="Y15" s="20">
        <f>'伤害统计(理想)'!Y15</f>
        <v>0.2441</v>
      </c>
      <c r="Z15" s="20">
        <f>'伤害统计(理想)'!Z15</f>
        <v>2.3336</v>
      </c>
      <c r="AA15" s="20">
        <f>'伤害统计(理想)'!AA15</f>
        <v>0.1953</v>
      </c>
      <c r="AB15" s="20">
        <f>'伤害统计(理想)'!AB15</f>
        <v>2.5289</v>
      </c>
      <c r="AC15" s="20">
        <f t="shared" si="0"/>
        <v>72544</v>
      </c>
      <c r="AD15" s="20">
        <f t="shared" si="1"/>
        <v>99730</v>
      </c>
      <c r="AE15" s="20">
        <f t="shared" si="2"/>
        <v>107731</v>
      </c>
      <c r="AF15" s="20">
        <f t="shared" si="3"/>
        <v>151580</v>
      </c>
      <c r="AG15" s="20">
        <f t="shared" si="4"/>
        <v>232729</v>
      </c>
      <c r="AH15" s="20">
        <f>INT(AE15*(T15+U15+0.4441+按提示输入属性!D64*0.1953))</f>
        <v>293987</v>
      </c>
      <c r="AI15" s="20">
        <f t="shared" si="5"/>
        <v>86137</v>
      </c>
      <c r="AJ15" s="20">
        <f t="shared" si="6"/>
        <v>201009</v>
      </c>
      <c r="AK15" s="20">
        <f t="shared" si="7"/>
        <v>93047</v>
      </c>
      <c r="AL15" s="20">
        <f t="shared" si="8"/>
        <v>217134</v>
      </c>
      <c r="AM15" s="20">
        <f t="shared" si="9"/>
        <v>252207</v>
      </c>
      <c r="AN15" s="20">
        <f t="shared" si="10"/>
        <v>272440</v>
      </c>
    </row>
    <row r="16" spans="1:40">
      <c r="A16" s="20" t="str">
        <f>'伤害统计(理想)'!A16</f>
        <v>六合3</v>
      </c>
      <c r="B16" s="20">
        <f>'伤害统计(理想)'!B16</f>
        <v>90</v>
      </c>
      <c r="C16" s="20">
        <f>'伤害统计(理想)'!C16</f>
        <v>34400</v>
      </c>
      <c r="D16" s="20">
        <f>'伤害统计(理想)'!D16</f>
        <v>45792</v>
      </c>
      <c r="E16" s="20">
        <f>'伤害统计(理想)'!E16</f>
        <v>0.854167</v>
      </c>
      <c r="F16" s="20">
        <f>'伤害统计(理想)'!F16</f>
        <v>1</v>
      </c>
      <c r="G16" s="20">
        <f>'伤害统计(理想)'!G16</f>
        <v>0</v>
      </c>
      <c r="H16" s="20">
        <f>'伤害统计(理想)'!H16</f>
        <v>0.7</v>
      </c>
      <c r="I16" s="20">
        <f>'伤害统计(理想)'!I16</f>
        <v>0.05</v>
      </c>
      <c r="J16" s="20">
        <f>'伤害统计(理想)'!J16</f>
        <v>0.472</v>
      </c>
      <c r="K16" s="20">
        <f>'伤害统计(理想)'!K16</f>
        <v>0.1181</v>
      </c>
      <c r="L16" s="20">
        <f>'伤害统计(理想)'!L16</f>
        <v>0.177214436704937</v>
      </c>
      <c r="M16" s="20">
        <f>'伤害统计(理想)'!M16</f>
        <v>0.3473</v>
      </c>
      <c r="N16" s="20">
        <f>'伤害统计(理想)'!N16</f>
        <v>0.2</v>
      </c>
      <c r="O16" s="20">
        <f>'伤害统计(理想)'!O16</f>
        <v>0.4994</v>
      </c>
      <c r="P16" s="20">
        <f>'伤害统计(理想)'!P16</f>
        <v>0</v>
      </c>
      <c r="Q16" s="20">
        <f>'伤害统计(理想)'!Q16</f>
        <v>0.4994</v>
      </c>
      <c r="R16" s="20">
        <f>'伤害统计(理想)'!R16</f>
        <v>0.2441</v>
      </c>
      <c r="S16" s="20">
        <f>'伤害统计(理想)'!S16</f>
        <v>0.7435</v>
      </c>
      <c r="T16" s="20">
        <f>'伤害统计(理想)'!T16</f>
        <v>2.0895</v>
      </c>
      <c r="U16" s="20">
        <f>'伤害统计(理想)'!U16</f>
        <v>0</v>
      </c>
      <c r="V16" s="20">
        <f>'伤害统计(理想)'!V16</f>
        <v>2.0895</v>
      </c>
      <c r="W16" s="20">
        <f>'伤害统计(理想)'!W16</f>
        <v>0.2441</v>
      </c>
      <c r="X16" s="20">
        <f>'伤害统计(理想)'!X16</f>
        <v>2.3336</v>
      </c>
      <c r="Y16" s="20">
        <f>'伤害统计(理想)'!Y16</f>
        <v>0.2441</v>
      </c>
      <c r="Z16" s="20">
        <f>'伤害统计(理想)'!Z16</f>
        <v>2.3336</v>
      </c>
      <c r="AA16" s="20">
        <f>'伤害统计(理想)'!AA16</f>
        <v>0.1953</v>
      </c>
      <c r="AB16" s="20">
        <f>'伤害统计(理想)'!AB16</f>
        <v>2.5289</v>
      </c>
      <c r="AC16" s="20">
        <f t="shared" si="0"/>
        <v>91351</v>
      </c>
      <c r="AD16" s="20">
        <f t="shared" si="1"/>
        <v>125585</v>
      </c>
      <c r="AE16" s="20">
        <f t="shared" si="2"/>
        <v>135661</v>
      </c>
      <c r="AF16" s="20">
        <f t="shared" si="3"/>
        <v>190877</v>
      </c>
      <c r="AG16" s="20">
        <f t="shared" si="4"/>
        <v>293065</v>
      </c>
      <c r="AH16" s="20">
        <f>INT(AE16*(T16+U16+0.4441+按提示输入属性!D64*0.1953))</f>
        <v>370205</v>
      </c>
      <c r="AI16" s="20">
        <f t="shared" si="5"/>
        <v>108468</v>
      </c>
      <c r="AJ16" s="20">
        <f t="shared" si="6"/>
        <v>253120</v>
      </c>
      <c r="AK16" s="20">
        <f t="shared" si="7"/>
        <v>117171</v>
      </c>
      <c r="AL16" s="20">
        <f t="shared" si="8"/>
        <v>273430</v>
      </c>
      <c r="AM16" s="20">
        <f t="shared" si="9"/>
        <v>317591</v>
      </c>
      <c r="AN16" s="20">
        <f t="shared" si="10"/>
        <v>343073</v>
      </c>
    </row>
    <row r="17" spans="1:40">
      <c r="A17" s="20" t="str">
        <f>'伤害统计(理想)'!A17</f>
        <v>六合4</v>
      </c>
      <c r="B17" s="20">
        <f>'伤害统计(理想)'!B17</f>
        <v>90</v>
      </c>
      <c r="C17" s="20">
        <f>'伤害统计(理想)'!C17</f>
        <v>34400</v>
      </c>
      <c r="D17" s="20">
        <f>'伤害统计(理想)'!D17</f>
        <v>45792</v>
      </c>
      <c r="E17" s="20">
        <f>'伤害统计(理想)'!E17</f>
        <v>0.854167</v>
      </c>
      <c r="F17" s="20">
        <f>'伤害统计(理想)'!F17</f>
        <v>1</v>
      </c>
      <c r="G17" s="20">
        <f>'伤害统计(理想)'!G17</f>
        <v>0</v>
      </c>
      <c r="H17" s="20">
        <f>'伤害统计(理想)'!H17</f>
        <v>1.05</v>
      </c>
      <c r="I17" s="20">
        <f>'伤害统计(理想)'!I17</f>
        <v>0.05</v>
      </c>
      <c r="J17" s="20">
        <f>'伤害统计(理想)'!J17</f>
        <v>0.472</v>
      </c>
      <c r="K17" s="20">
        <f>'伤害统计(理想)'!K17</f>
        <v>0.1181</v>
      </c>
      <c r="L17" s="20">
        <f>'伤害统计(理想)'!L17</f>
        <v>0.177214436704937</v>
      </c>
      <c r="M17" s="20">
        <f>'伤害统计(理想)'!M17</f>
        <v>0.3473</v>
      </c>
      <c r="N17" s="20">
        <f>'伤害统计(理想)'!N17</f>
        <v>0.2</v>
      </c>
      <c r="O17" s="20">
        <f>'伤害统计(理想)'!O17</f>
        <v>0.4994</v>
      </c>
      <c r="P17" s="20">
        <f>'伤害统计(理想)'!P17</f>
        <v>0</v>
      </c>
      <c r="Q17" s="20">
        <f>'伤害统计(理想)'!Q17</f>
        <v>0.4994</v>
      </c>
      <c r="R17" s="20">
        <f>'伤害统计(理想)'!R17</f>
        <v>0.2441</v>
      </c>
      <c r="S17" s="20">
        <f>'伤害统计(理想)'!S17</f>
        <v>0.7435</v>
      </c>
      <c r="T17" s="20">
        <f>'伤害统计(理想)'!T17</f>
        <v>2.0895</v>
      </c>
      <c r="U17" s="20">
        <f>'伤害统计(理想)'!U17</f>
        <v>0</v>
      </c>
      <c r="V17" s="20">
        <f>'伤害统计(理想)'!V17</f>
        <v>2.0895</v>
      </c>
      <c r="W17" s="20">
        <f>'伤害统计(理想)'!W17</f>
        <v>0.2441</v>
      </c>
      <c r="X17" s="20">
        <f>'伤害统计(理想)'!X17</f>
        <v>2.3336</v>
      </c>
      <c r="Y17" s="20">
        <f>'伤害统计(理想)'!Y17</f>
        <v>0.2441</v>
      </c>
      <c r="Z17" s="20">
        <f>'伤害统计(理想)'!Z17</f>
        <v>2.3336</v>
      </c>
      <c r="AA17" s="20">
        <f>'伤害统计(理想)'!AA17</f>
        <v>0.1953</v>
      </c>
      <c r="AB17" s="20">
        <f>'伤害统计(理想)'!AB17</f>
        <v>2.5289</v>
      </c>
      <c r="AC17" s="20">
        <f t="shared" si="0"/>
        <v>110159</v>
      </c>
      <c r="AD17" s="20">
        <f t="shared" si="1"/>
        <v>151441</v>
      </c>
      <c r="AE17" s="20">
        <f t="shared" si="2"/>
        <v>163592</v>
      </c>
      <c r="AF17" s="20">
        <f t="shared" si="3"/>
        <v>230177</v>
      </c>
      <c r="AG17" s="20">
        <f t="shared" si="4"/>
        <v>353402</v>
      </c>
      <c r="AH17" s="20">
        <f>INT(AE17*(T17+U17+0.4441+按提示输入属性!D64*0.1953))</f>
        <v>446426</v>
      </c>
      <c r="AI17" s="20">
        <f t="shared" si="5"/>
        <v>130800</v>
      </c>
      <c r="AJ17" s="20">
        <f t="shared" si="6"/>
        <v>305234</v>
      </c>
      <c r="AK17" s="20">
        <f t="shared" si="7"/>
        <v>141295</v>
      </c>
      <c r="AL17" s="20">
        <f t="shared" si="8"/>
        <v>329726</v>
      </c>
      <c r="AM17" s="20">
        <f t="shared" si="9"/>
        <v>382979</v>
      </c>
      <c r="AN17" s="20">
        <f t="shared" si="10"/>
        <v>413707</v>
      </c>
    </row>
    <row r="18" spans="1:40">
      <c r="A18" s="20" t="str">
        <f>'伤害统计(理想)'!A18</f>
        <v>六合5</v>
      </c>
      <c r="B18" s="20">
        <f>'伤害统计(理想)'!B18</f>
        <v>90</v>
      </c>
      <c r="C18" s="20">
        <f>'伤害统计(理想)'!C18</f>
        <v>34400</v>
      </c>
      <c r="D18" s="20">
        <f>'伤害统计(理想)'!D18</f>
        <v>45792</v>
      </c>
      <c r="E18" s="20">
        <f>'伤害统计(理想)'!E18</f>
        <v>0.854167</v>
      </c>
      <c r="F18" s="20">
        <f>'伤害统计(理想)'!F18</f>
        <v>1</v>
      </c>
      <c r="G18" s="20">
        <f>'伤害统计(理想)'!G18</f>
        <v>0</v>
      </c>
      <c r="H18" s="20">
        <f>'伤害统计(理想)'!H18</f>
        <v>1.4</v>
      </c>
      <c r="I18" s="20">
        <f>'伤害统计(理想)'!I18</f>
        <v>0.05</v>
      </c>
      <c r="J18" s="20">
        <f>'伤害统计(理想)'!J18</f>
        <v>0.472</v>
      </c>
      <c r="K18" s="20">
        <f>'伤害统计(理想)'!K18</f>
        <v>0.1181</v>
      </c>
      <c r="L18" s="20">
        <f>'伤害统计(理想)'!L18</f>
        <v>0.177214436704937</v>
      </c>
      <c r="M18" s="20">
        <f>'伤害统计(理想)'!M18</f>
        <v>0.3473</v>
      </c>
      <c r="N18" s="20">
        <f>'伤害统计(理想)'!N18</f>
        <v>0.2</v>
      </c>
      <c r="O18" s="20">
        <f>'伤害统计(理想)'!O18</f>
        <v>0.4994</v>
      </c>
      <c r="P18" s="20">
        <f>'伤害统计(理想)'!P18</f>
        <v>0</v>
      </c>
      <c r="Q18" s="20">
        <f>'伤害统计(理想)'!Q18</f>
        <v>0.4994</v>
      </c>
      <c r="R18" s="20">
        <f>'伤害统计(理想)'!R18</f>
        <v>0.2441</v>
      </c>
      <c r="S18" s="20">
        <f>'伤害统计(理想)'!S18</f>
        <v>0.7435</v>
      </c>
      <c r="T18" s="20">
        <f>'伤害统计(理想)'!T18</f>
        <v>2.0895</v>
      </c>
      <c r="U18" s="20">
        <f>'伤害统计(理想)'!U18</f>
        <v>0</v>
      </c>
      <c r="V18" s="20">
        <f>'伤害统计(理想)'!V18</f>
        <v>2.0895</v>
      </c>
      <c r="W18" s="20">
        <f>'伤害统计(理想)'!W18</f>
        <v>0.2441</v>
      </c>
      <c r="X18" s="20">
        <f>'伤害统计(理想)'!X18</f>
        <v>2.3336</v>
      </c>
      <c r="Y18" s="20">
        <f>'伤害统计(理想)'!Y18</f>
        <v>0.2441</v>
      </c>
      <c r="Z18" s="20">
        <f>'伤害统计(理想)'!Z18</f>
        <v>2.3336</v>
      </c>
      <c r="AA18" s="20">
        <f>'伤害统计(理想)'!AA18</f>
        <v>0.1953</v>
      </c>
      <c r="AB18" s="20">
        <f>'伤害统计(理想)'!AB18</f>
        <v>2.5289</v>
      </c>
      <c r="AC18" s="20">
        <f t="shared" si="0"/>
        <v>128967</v>
      </c>
      <c r="AD18" s="20">
        <f t="shared" si="1"/>
        <v>177297</v>
      </c>
      <c r="AE18" s="20">
        <f t="shared" si="2"/>
        <v>191522</v>
      </c>
      <c r="AF18" s="20">
        <f t="shared" si="3"/>
        <v>269476</v>
      </c>
      <c r="AG18" s="20">
        <f t="shared" si="4"/>
        <v>413740</v>
      </c>
      <c r="AH18" s="20">
        <f>INT(AE18*(T18+U18+0.4441+按提示输入属性!D64*0.1953))</f>
        <v>522644</v>
      </c>
      <c r="AI18" s="20">
        <f t="shared" si="5"/>
        <v>153132</v>
      </c>
      <c r="AJ18" s="20">
        <f t="shared" si="6"/>
        <v>357348</v>
      </c>
      <c r="AK18" s="20">
        <f t="shared" si="7"/>
        <v>165418</v>
      </c>
      <c r="AL18" s="20">
        <f t="shared" si="8"/>
        <v>386019</v>
      </c>
      <c r="AM18" s="20">
        <f t="shared" si="9"/>
        <v>448366</v>
      </c>
      <c r="AN18" s="20">
        <f t="shared" si="10"/>
        <v>484339</v>
      </c>
    </row>
    <row r="19" spans="1:40">
      <c r="A19" s="20" t="str">
        <f>'伤害统计(理想)'!A19</f>
        <v>破</v>
      </c>
      <c r="B19" s="20">
        <f>'伤害统计(理想)'!B19</f>
        <v>0</v>
      </c>
      <c r="C19" s="20">
        <f>'伤害统计(理想)'!C19</f>
        <v>0</v>
      </c>
      <c r="D19" s="8">
        <f>'伤害统计(理想)'!D19+'属性收益计算&amp;备注'!AB15</f>
        <v>21989.9</v>
      </c>
      <c r="E19" s="20">
        <f>'伤害统计(理想)'!E19</f>
        <v>10.94936</v>
      </c>
      <c r="F19" s="20">
        <f>'伤害统计(理想)'!F19</f>
        <v>1</v>
      </c>
      <c r="G19" s="20">
        <f>'伤害统计(理想)'!G19</f>
        <v>0</v>
      </c>
      <c r="H19" s="20">
        <f>'伤害统计(理想)'!H19</f>
        <v>0</v>
      </c>
      <c r="I19" s="20">
        <f>'伤害统计(理想)'!I19</f>
        <v>0.05</v>
      </c>
      <c r="J19" s="20">
        <f>'伤害统计(理想)'!J19</f>
        <v>0.472</v>
      </c>
      <c r="K19" s="20">
        <f>'伤害统计(理想)'!K19</f>
        <v>0.1181</v>
      </c>
      <c r="L19" s="20">
        <f>'伤害统计(理想)'!L19</f>
        <v>0.177214436704937</v>
      </c>
      <c r="M19" s="20">
        <f>'伤害统计(理想)'!M19</f>
        <v>0.3473</v>
      </c>
      <c r="N19" s="20">
        <f>'伤害统计(理想)'!N19</f>
        <v>0.2</v>
      </c>
      <c r="O19" s="20">
        <f>'伤害统计(理想)'!O19</f>
        <v>0.4994</v>
      </c>
      <c r="P19" s="20">
        <f>'伤害统计(理想)'!P19</f>
        <v>0</v>
      </c>
      <c r="Q19" s="20">
        <f>'伤害统计(理想)'!Q19</f>
        <v>0.4994</v>
      </c>
      <c r="R19" s="20">
        <f>'伤害统计(理想)'!R19</f>
        <v>0.2441</v>
      </c>
      <c r="S19" s="20">
        <f>'伤害统计(理想)'!S19</f>
        <v>0.7435</v>
      </c>
      <c r="T19" s="20">
        <f>'伤害统计(理想)'!T19</f>
        <v>2.0895</v>
      </c>
      <c r="U19" s="20">
        <f>'伤害统计(理想)'!U19</f>
        <v>0</v>
      </c>
      <c r="V19" s="20">
        <f>'伤害统计(理想)'!V19</f>
        <v>2.0895</v>
      </c>
      <c r="W19" s="20">
        <f>'伤害统计(理想)'!W19</f>
        <v>0.2441</v>
      </c>
      <c r="X19" s="20">
        <f>'伤害统计(理想)'!X19</f>
        <v>2.3336</v>
      </c>
      <c r="Y19" s="20">
        <f>'伤害统计(理想)'!Y19</f>
        <v>0.2441</v>
      </c>
      <c r="Z19" s="20">
        <f>'伤害统计(理想)'!Z19</f>
        <v>2.3336</v>
      </c>
      <c r="AA19" s="20">
        <f>'伤害统计(理想)'!AA19</f>
        <v>0.1953</v>
      </c>
      <c r="AB19" s="20">
        <f>'伤害统计(理想)'!AB19</f>
        <v>2.5289</v>
      </c>
      <c r="AC19" s="20">
        <f t="shared" si="0"/>
        <v>330026</v>
      </c>
      <c r="AD19" s="20">
        <f t="shared" si="1"/>
        <v>330027</v>
      </c>
      <c r="AE19" s="20">
        <f t="shared" si="2"/>
        <v>356505</v>
      </c>
      <c r="AF19" s="20">
        <f t="shared" si="3"/>
        <v>689589</v>
      </c>
      <c r="AG19" s="20">
        <f t="shared" si="4"/>
        <v>770151</v>
      </c>
      <c r="AH19" s="20">
        <f t="shared" ref="AH19:AH32" si="12">INT(AE19*(T19+U19+0.4441))</f>
        <v>903241</v>
      </c>
      <c r="AI19" s="20">
        <f t="shared" si="5"/>
        <v>330027</v>
      </c>
      <c r="AJ19" s="20">
        <f t="shared" si="6"/>
        <v>770151</v>
      </c>
      <c r="AK19" s="20">
        <f t="shared" si="7"/>
        <v>356505</v>
      </c>
      <c r="AL19" s="20">
        <f t="shared" si="8"/>
        <v>831940</v>
      </c>
      <c r="AM19" s="20">
        <f t="shared" si="9"/>
        <v>834605</v>
      </c>
      <c r="AN19" s="20">
        <f t="shared" si="10"/>
        <v>901565</v>
      </c>
    </row>
    <row r="20" spans="1:40">
      <c r="A20" s="20" t="str">
        <f>'伤害统计(理想)'!A20</f>
        <v>破(3.5</v>
      </c>
      <c r="B20" s="20">
        <f>'伤害统计(理想)'!B20</f>
        <v>0</v>
      </c>
      <c r="C20" s="20">
        <f>'伤害统计(理想)'!C20</f>
        <v>0</v>
      </c>
      <c r="D20" s="8">
        <f>D19</f>
        <v>21989.9</v>
      </c>
      <c r="E20" s="20">
        <f>'伤害统计(理想)'!E20</f>
        <v>3.9576</v>
      </c>
      <c r="F20" s="20">
        <f>'伤害统计(理想)'!F20</f>
        <v>1</v>
      </c>
      <c r="G20" s="20">
        <f>'伤害统计(理想)'!G20</f>
        <v>0</v>
      </c>
      <c r="H20" s="20">
        <f>'伤害统计(理想)'!H20</f>
        <v>0</v>
      </c>
      <c r="I20" s="20">
        <f>'伤害统计(理想)'!I20</f>
        <v>0.05</v>
      </c>
      <c r="J20" s="20">
        <f>'伤害统计(理想)'!J20</f>
        <v>0.472</v>
      </c>
      <c r="K20" s="20">
        <f>'伤害统计(理想)'!K20</f>
        <v>0.1181</v>
      </c>
      <c r="L20" s="20">
        <f>'伤害统计(理想)'!L20</f>
        <v>0.177214436704937</v>
      </c>
      <c r="M20" s="20">
        <f>'伤害统计(理想)'!M20</f>
        <v>0.3473</v>
      </c>
      <c r="N20" s="20">
        <f>'伤害统计(理想)'!N20</f>
        <v>0.2</v>
      </c>
      <c r="O20" s="20">
        <f>'伤害统计(理想)'!O20</f>
        <v>0.4994</v>
      </c>
      <c r="P20" s="20">
        <f>'伤害统计(理想)'!P20</f>
        <v>0</v>
      </c>
      <c r="Q20" s="20">
        <f>'伤害统计(理想)'!Q20</f>
        <v>0.4994</v>
      </c>
      <c r="R20" s="20">
        <f>'伤害统计(理想)'!R20</f>
        <v>0.2441</v>
      </c>
      <c r="S20" s="20">
        <f>'伤害统计(理想)'!S20</f>
        <v>0.7435</v>
      </c>
      <c r="T20" s="20">
        <f>'伤害统计(理想)'!T20</f>
        <v>2.0895</v>
      </c>
      <c r="U20" s="20">
        <f>'伤害统计(理想)'!U20</f>
        <v>0</v>
      </c>
      <c r="V20" s="20">
        <f>'伤害统计(理想)'!V20</f>
        <v>2.0895</v>
      </c>
      <c r="W20" s="20">
        <f>'伤害统计(理想)'!W20</f>
        <v>0.2441</v>
      </c>
      <c r="X20" s="20">
        <f>'伤害统计(理想)'!X20</f>
        <v>2.3336</v>
      </c>
      <c r="Y20" s="20">
        <f>'伤害统计(理想)'!Y20</f>
        <v>0.2441</v>
      </c>
      <c r="Z20" s="20">
        <f>'伤害统计(理想)'!Z20</f>
        <v>2.3336</v>
      </c>
      <c r="AA20" s="20">
        <f>'伤害统计(理想)'!AA20</f>
        <v>0.1953</v>
      </c>
      <c r="AB20" s="20">
        <f>'伤害统计(理想)'!AB20</f>
        <v>2.5289</v>
      </c>
      <c r="AC20" s="20">
        <f t="shared" si="0"/>
        <v>119286</v>
      </c>
      <c r="AD20" s="20">
        <f t="shared" si="1"/>
        <v>119287</v>
      </c>
      <c r="AE20" s="20">
        <f t="shared" si="2"/>
        <v>128857</v>
      </c>
      <c r="AF20" s="20">
        <f t="shared" si="3"/>
        <v>249248</v>
      </c>
      <c r="AG20" s="20">
        <f t="shared" si="4"/>
        <v>278368</v>
      </c>
      <c r="AH20" s="20">
        <f t="shared" si="12"/>
        <v>326472</v>
      </c>
      <c r="AI20" s="20">
        <f t="shared" si="5"/>
        <v>119287</v>
      </c>
      <c r="AJ20" s="20">
        <f t="shared" si="6"/>
        <v>278368</v>
      </c>
      <c r="AK20" s="20">
        <f t="shared" si="7"/>
        <v>128857</v>
      </c>
      <c r="AL20" s="20">
        <f t="shared" si="8"/>
        <v>300700</v>
      </c>
      <c r="AM20" s="20">
        <f t="shared" si="9"/>
        <v>301664</v>
      </c>
      <c r="AN20" s="20">
        <f t="shared" si="10"/>
        <v>325866</v>
      </c>
    </row>
    <row r="21" spans="1:40">
      <c r="A21" s="20" t="str">
        <f>'伤害统计(理想)'!A21</f>
        <v>破(万世二段</v>
      </c>
      <c r="B21" s="20">
        <f>'伤害统计(理想)'!B21</f>
        <v>0</v>
      </c>
      <c r="C21" s="20">
        <f>'伤害统计(理想)'!C21</f>
        <v>0</v>
      </c>
      <c r="D21" s="8">
        <f>D19</f>
        <v>21989.9</v>
      </c>
      <c r="E21" s="20">
        <f>'伤害统计(理想)'!E21</f>
        <v>7.9152</v>
      </c>
      <c r="F21" s="20">
        <f>'伤害统计(理想)'!F21</f>
        <v>1</v>
      </c>
      <c r="G21" s="20">
        <f>'伤害统计(理想)'!G21</f>
        <v>0</v>
      </c>
      <c r="H21" s="20">
        <f>'伤害统计(理想)'!H21</f>
        <v>0</v>
      </c>
      <c r="I21" s="20">
        <f>'伤害统计(理想)'!I21</f>
        <v>0.05</v>
      </c>
      <c r="J21" s="20">
        <f>'伤害统计(理想)'!J21</f>
        <v>0.472</v>
      </c>
      <c r="K21" s="20">
        <f>'伤害统计(理想)'!K21</f>
        <v>0.1181</v>
      </c>
      <c r="L21" s="20">
        <f>'伤害统计(理想)'!L21</f>
        <v>0.177214436704937</v>
      </c>
      <c r="M21" s="20">
        <f>'伤害统计(理想)'!M21</f>
        <v>0.3473</v>
      </c>
      <c r="N21" s="20">
        <f>'伤害统计(理想)'!N21</f>
        <v>0.2</v>
      </c>
      <c r="O21" s="20">
        <f>'伤害统计(理想)'!O21</f>
        <v>0.4994</v>
      </c>
      <c r="P21" s="20">
        <f>'伤害统计(理想)'!P21</f>
        <v>0</v>
      </c>
      <c r="Q21" s="20">
        <f>'伤害统计(理想)'!Q21</f>
        <v>0.4994</v>
      </c>
      <c r="R21" s="20">
        <f>'伤害统计(理想)'!R21</f>
        <v>0.2441</v>
      </c>
      <c r="S21" s="20">
        <f>'伤害统计(理想)'!S21</f>
        <v>0.7435</v>
      </c>
      <c r="T21" s="20">
        <f>'伤害统计(理想)'!T21</f>
        <v>2.0895</v>
      </c>
      <c r="U21" s="20">
        <f>'伤害统计(理想)'!U21</f>
        <v>0</v>
      </c>
      <c r="V21" s="20">
        <f>'伤害统计(理想)'!V21</f>
        <v>2.0895</v>
      </c>
      <c r="W21" s="20">
        <f>'伤害统计(理想)'!W21</f>
        <v>0.2441</v>
      </c>
      <c r="X21" s="20">
        <f>'伤害统计(理想)'!X21</f>
        <v>2.3336</v>
      </c>
      <c r="Y21" s="20">
        <f>'伤害统计(理想)'!Y21</f>
        <v>0.2441</v>
      </c>
      <c r="Z21" s="20">
        <f>'伤害统计(理想)'!Z21</f>
        <v>2.3336</v>
      </c>
      <c r="AA21" s="20">
        <f>'伤害统计(理想)'!AA21</f>
        <v>0.1953</v>
      </c>
      <c r="AB21" s="20">
        <f>'伤害统计(理想)'!AB21</f>
        <v>2.5289</v>
      </c>
      <c r="AC21" s="20">
        <f t="shared" si="0"/>
        <v>238573</v>
      </c>
      <c r="AD21" s="20">
        <f t="shared" si="1"/>
        <v>238574</v>
      </c>
      <c r="AE21" s="20">
        <f t="shared" si="2"/>
        <v>257715</v>
      </c>
      <c r="AF21" s="20">
        <f t="shared" si="3"/>
        <v>498498</v>
      </c>
      <c r="AG21" s="20">
        <f t="shared" si="4"/>
        <v>556736</v>
      </c>
      <c r="AH21" s="20">
        <f t="shared" si="12"/>
        <v>652946</v>
      </c>
      <c r="AI21" s="20">
        <f t="shared" si="5"/>
        <v>238574</v>
      </c>
      <c r="AJ21" s="20">
        <f t="shared" si="6"/>
        <v>556736</v>
      </c>
      <c r="AK21" s="20">
        <f t="shared" si="7"/>
        <v>257715</v>
      </c>
      <c r="AL21" s="20">
        <f t="shared" si="8"/>
        <v>601403</v>
      </c>
      <c r="AM21" s="20">
        <f t="shared" si="9"/>
        <v>603329</v>
      </c>
      <c r="AN21" s="20">
        <f t="shared" si="10"/>
        <v>651735</v>
      </c>
    </row>
    <row r="22" spans="1:40">
      <c r="A22" s="20" t="str">
        <f>'伤害统计(理想)'!A22</f>
        <v>三才化生</v>
      </c>
      <c r="B22" s="20">
        <f>'伤害统计(理想)'!B22</f>
        <v>81</v>
      </c>
      <c r="C22" s="20">
        <f>'伤害统计(理想)'!C22</f>
        <v>34400</v>
      </c>
      <c r="D22" s="20">
        <f>'伤害统计(理想)'!D22</f>
        <v>45792</v>
      </c>
      <c r="E22" s="20">
        <f>'伤害统计(理想)'!E22</f>
        <v>0.08</v>
      </c>
      <c r="F22" s="20">
        <f>'伤害统计(理想)'!F22</f>
        <v>1</v>
      </c>
      <c r="G22" s="20">
        <f>'伤害统计(理想)'!G22</f>
        <v>0</v>
      </c>
      <c r="H22" s="20">
        <f>'伤害统计(理想)'!H22</f>
        <v>0</v>
      </c>
      <c r="I22" s="20">
        <f>'伤害统计(理想)'!I22</f>
        <v>0.05</v>
      </c>
      <c r="J22" s="20">
        <f>'伤害统计(理想)'!J22</f>
        <v>0.472</v>
      </c>
      <c r="K22" s="20">
        <f>'伤害统计(理想)'!K22</f>
        <v>0.1181</v>
      </c>
      <c r="L22" s="20">
        <f>'伤害统计(理想)'!L22</f>
        <v>0.177214436704937</v>
      </c>
      <c r="M22" s="20">
        <f>'伤害统计(理想)'!M22</f>
        <v>0.3473</v>
      </c>
      <c r="N22" s="20">
        <f>'伤害统计(理想)'!N22</f>
        <v>0.2</v>
      </c>
      <c r="O22" s="20">
        <f>'伤害统计(理想)'!O22</f>
        <v>0.4994</v>
      </c>
      <c r="P22" s="20">
        <f>'伤害统计(理想)'!P22</f>
        <v>0</v>
      </c>
      <c r="Q22" s="20">
        <f>'伤害统计(理想)'!Q22</f>
        <v>0.4994</v>
      </c>
      <c r="R22" s="20">
        <f>'伤害统计(理想)'!R22</f>
        <v>0.2441</v>
      </c>
      <c r="S22" s="20">
        <f>'伤害统计(理想)'!S22</f>
        <v>0.7435</v>
      </c>
      <c r="T22" s="20">
        <f>'伤害统计(理想)'!T22</f>
        <v>2.0895</v>
      </c>
      <c r="U22" s="20">
        <f>'伤害统计(理想)'!U22</f>
        <v>0</v>
      </c>
      <c r="V22" s="20">
        <f>'伤害统计(理想)'!V22</f>
        <v>2.0895</v>
      </c>
      <c r="W22" s="20">
        <f>'伤害统计(理想)'!W22</f>
        <v>0.2441</v>
      </c>
      <c r="X22" s="20">
        <f>'伤害统计(理想)'!X22</f>
        <v>2.3336</v>
      </c>
      <c r="Y22" s="20">
        <f>'伤害统计(理想)'!Y22</f>
        <v>0.2441</v>
      </c>
      <c r="Z22" s="20">
        <f>'伤害统计(理想)'!Z22</f>
        <v>2.3336</v>
      </c>
      <c r="AA22" s="20">
        <f>'伤害统计(理想)'!AA22</f>
        <v>0.1953</v>
      </c>
      <c r="AB22" s="20">
        <f>'伤害统计(理想)'!AB22</f>
        <v>2.5289</v>
      </c>
      <c r="AC22" s="20">
        <f t="shared" si="0"/>
        <v>5131</v>
      </c>
      <c r="AD22" s="20">
        <f t="shared" si="1"/>
        <v>7018</v>
      </c>
      <c r="AE22" s="20">
        <f t="shared" si="2"/>
        <v>7581</v>
      </c>
      <c r="AF22" s="20">
        <f t="shared" si="3"/>
        <v>10721</v>
      </c>
      <c r="AG22" s="20">
        <f t="shared" si="4"/>
        <v>16377</v>
      </c>
      <c r="AH22" s="20">
        <f t="shared" si="12"/>
        <v>19207</v>
      </c>
      <c r="AI22" s="20">
        <f t="shared" si="5"/>
        <v>6075</v>
      </c>
      <c r="AJ22" s="20">
        <f t="shared" si="6"/>
        <v>14176</v>
      </c>
      <c r="AK22" s="20">
        <f t="shared" si="7"/>
        <v>6562</v>
      </c>
      <c r="AL22" s="20">
        <f t="shared" si="8"/>
        <v>15313</v>
      </c>
      <c r="AM22" s="20">
        <f t="shared" si="9"/>
        <v>17747</v>
      </c>
      <c r="AN22" s="20">
        <f t="shared" si="10"/>
        <v>19171</v>
      </c>
    </row>
    <row r="23" spans="1:40">
      <c r="A23" s="20" t="str">
        <f>'伤害统计(理想)'!A23</f>
        <v>厚亡</v>
      </c>
      <c r="B23" s="20">
        <f>'伤害统计(理想)'!B23</f>
        <v>35</v>
      </c>
      <c r="C23" s="20">
        <f>'伤害统计(理想)'!C23</f>
        <v>34400</v>
      </c>
      <c r="D23" s="20">
        <f>'伤害统计(理想)'!D23</f>
        <v>45792</v>
      </c>
      <c r="E23" s="20">
        <f>'伤害统计(理想)'!E23</f>
        <v>1.625</v>
      </c>
      <c r="F23" s="20">
        <f>'伤害统计(理想)'!F23</f>
        <v>1</v>
      </c>
      <c r="G23" s="20">
        <f>'伤害统计(理想)'!G23</f>
        <v>0</v>
      </c>
      <c r="H23" s="20">
        <f>'伤害统计(理想)'!H23</f>
        <v>0</v>
      </c>
      <c r="I23" s="20">
        <f>'伤害统计(理想)'!I23</f>
        <v>0.05</v>
      </c>
      <c r="J23" s="20">
        <f>'伤害统计(理想)'!J23</f>
        <v>0.472</v>
      </c>
      <c r="K23" s="20">
        <f>'伤害统计(理想)'!K23</f>
        <v>0.1181</v>
      </c>
      <c r="L23" s="20">
        <f>'伤害统计(理想)'!L23</f>
        <v>0.177214436704937</v>
      </c>
      <c r="M23" s="20">
        <f>'伤害统计(理想)'!M23</f>
        <v>0.3473</v>
      </c>
      <c r="N23" s="20">
        <f>'伤害统计(理想)'!N23</f>
        <v>0.2</v>
      </c>
      <c r="O23" s="20">
        <f>'伤害统计(理想)'!O23</f>
        <v>0.4994</v>
      </c>
      <c r="P23" s="20">
        <f>'伤害统计(理想)'!P23</f>
        <v>0</v>
      </c>
      <c r="Q23" s="20">
        <f>'伤害统计(理想)'!Q23</f>
        <v>0.4994</v>
      </c>
      <c r="R23" s="20">
        <f>'伤害统计(理想)'!R23</f>
        <v>0.2441</v>
      </c>
      <c r="S23" s="20">
        <f>'伤害统计(理想)'!S23</f>
        <v>0.7435</v>
      </c>
      <c r="T23" s="20">
        <f>'伤害统计(理想)'!T23</f>
        <v>2.0895</v>
      </c>
      <c r="U23" s="20">
        <f>'伤害统计(理想)'!U23</f>
        <v>0</v>
      </c>
      <c r="V23" s="20">
        <f>'伤害统计(理想)'!V23</f>
        <v>2.0895</v>
      </c>
      <c r="W23" s="20">
        <f>'伤害统计(理想)'!W23</f>
        <v>0.2441</v>
      </c>
      <c r="X23" s="20">
        <f>'伤害统计(理想)'!X23</f>
        <v>2.3336</v>
      </c>
      <c r="Y23" s="20">
        <f>'伤害统计(理想)'!Y23</f>
        <v>0.2441</v>
      </c>
      <c r="Z23" s="20">
        <f>'伤害统计(理想)'!Z23</f>
        <v>2.3336</v>
      </c>
      <c r="AA23" s="20">
        <f>'伤害统计(理想)'!AA23</f>
        <v>0.1953</v>
      </c>
      <c r="AB23" s="20">
        <f>'伤害统计(理想)'!AB23</f>
        <v>2.5289</v>
      </c>
      <c r="AC23" s="20">
        <f t="shared" si="0"/>
        <v>102043</v>
      </c>
      <c r="AD23" s="20">
        <f t="shared" si="1"/>
        <v>140354</v>
      </c>
      <c r="AE23" s="20">
        <f t="shared" si="2"/>
        <v>151614</v>
      </c>
      <c r="AF23" s="20">
        <f t="shared" si="3"/>
        <v>213218</v>
      </c>
      <c r="AG23" s="20">
        <f t="shared" si="4"/>
        <v>327530</v>
      </c>
      <c r="AH23" s="20">
        <f t="shared" si="12"/>
        <v>384129</v>
      </c>
      <c r="AI23" s="20">
        <f t="shared" si="5"/>
        <v>121198</v>
      </c>
      <c r="AJ23" s="20">
        <f t="shared" si="6"/>
        <v>282827</v>
      </c>
      <c r="AK23" s="20">
        <f t="shared" si="7"/>
        <v>130922</v>
      </c>
      <c r="AL23" s="20">
        <f t="shared" si="8"/>
        <v>305519</v>
      </c>
      <c r="AM23" s="20">
        <f t="shared" si="9"/>
        <v>354941</v>
      </c>
      <c r="AN23" s="20">
        <f t="shared" si="10"/>
        <v>383416</v>
      </c>
    </row>
    <row r="24" spans="1:40">
      <c r="A24" s="20" t="str">
        <f>'伤害统计(理想)'!A24</f>
        <v>刃凌</v>
      </c>
      <c r="B24" s="20">
        <f>'伤害统计(理想)'!B24</f>
        <v>48</v>
      </c>
      <c r="C24" s="20">
        <f>'伤害统计(理想)'!C24</f>
        <v>34400</v>
      </c>
      <c r="D24" s="20">
        <f>'伤害统计(理想)'!D24</f>
        <v>45792</v>
      </c>
      <c r="E24" s="20">
        <f>'伤害统计(理想)'!E24</f>
        <v>0.260417</v>
      </c>
      <c r="F24" s="20">
        <f>'伤害统计(理想)'!F24</f>
        <v>1</v>
      </c>
      <c r="G24" s="20">
        <f>'伤害统计(理想)'!G24</f>
        <v>0</v>
      </c>
      <c r="H24" s="20">
        <f>'伤害统计(理想)'!H24</f>
        <v>0</v>
      </c>
      <c r="I24" s="20">
        <f>'伤害统计(理想)'!I24</f>
        <v>0.05</v>
      </c>
      <c r="J24" s="20">
        <f>'伤害统计(理想)'!J24</f>
        <v>0.472</v>
      </c>
      <c r="K24" s="20">
        <f>'伤害统计(理想)'!K24</f>
        <v>0.1181</v>
      </c>
      <c r="L24" s="20">
        <f>'伤害统计(理想)'!L24</f>
        <v>0.177214436704937</v>
      </c>
      <c r="M24" s="20">
        <f>'伤害统计(理想)'!M24</f>
        <v>0.3473</v>
      </c>
      <c r="N24" s="20">
        <f>'伤害统计(理想)'!N24</f>
        <v>0.2</v>
      </c>
      <c r="O24" s="20">
        <f>'伤害统计(理想)'!O24</f>
        <v>0.4994</v>
      </c>
      <c r="P24" s="20">
        <f>'伤害统计(理想)'!P24</f>
        <v>0</v>
      </c>
      <c r="Q24" s="20">
        <f>'伤害统计(理想)'!Q24</f>
        <v>0.4994</v>
      </c>
      <c r="R24" s="20">
        <f>'伤害统计(理想)'!R24</f>
        <v>0.2441</v>
      </c>
      <c r="S24" s="20">
        <f>'伤害统计(理想)'!S24</f>
        <v>0.7435</v>
      </c>
      <c r="T24" s="20">
        <f>'伤害统计(理想)'!T24</f>
        <v>2.0895</v>
      </c>
      <c r="U24" s="20">
        <f>'伤害统计(理想)'!U24</f>
        <v>0</v>
      </c>
      <c r="V24" s="20">
        <f>'伤害统计(理想)'!V24</f>
        <v>2.0895</v>
      </c>
      <c r="W24" s="20">
        <f>'伤害统计(理想)'!W24</f>
        <v>0.2441</v>
      </c>
      <c r="X24" s="20">
        <f>'伤害统计(理想)'!X24</f>
        <v>2.3336</v>
      </c>
      <c r="Y24" s="20">
        <f>'伤害统计(理想)'!Y24</f>
        <v>0.2441</v>
      </c>
      <c r="Z24" s="20">
        <f>'伤害统计(理想)'!Z24</f>
        <v>2.3336</v>
      </c>
      <c r="AA24" s="20">
        <f>'伤害统计(理想)'!AA24</f>
        <v>0.1953</v>
      </c>
      <c r="AB24" s="20">
        <f>'伤害统计(理想)'!AB24</f>
        <v>2.5289</v>
      </c>
      <c r="AC24" s="20">
        <f t="shared" si="0"/>
        <v>16411</v>
      </c>
      <c r="AD24" s="20">
        <f t="shared" si="1"/>
        <v>22550</v>
      </c>
      <c r="AE24" s="20">
        <f t="shared" si="2"/>
        <v>24360</v>
      </c>
      <c r="AF24" s="20">
        <f t="shared" si="3"/>
        <v>34290</v>
      </c>
      <c r="AG24" s="20">
        <f t="shared" si="4"/>
        <v>52622</v>
      </c>
      <c r="AH24" s="20">
        <f t="shared" si="12"/>
        <v>61718</v>
      </c>
      <c r="AI24" s="20">
        <f t="shared" si="5"/>
        <v>19481</v>
      </c>
      <c r="AJ24" s="20">
        <f t="shared" si="6"/>
        <v>45460</v>
      </c>
      <c r="AK24" s="20">
        <f t="shared" si="7"/>
        <v>21043</v>
      </c>
      <c r="AL24" s="20">
        <f t="shared" si="8"/>
        <v>49105</v>
      </c>
      <c r="AM24" s="20">
        <f t="shared" si="9"/>
        <v>57026</v>
      </c>
      <c r="AN24" s="20">
        <f t="shared" si="10"/>
        <v>61604</v>
      </c>
    </row>
    <row r="25" spans="1:40">
      <c r="A25" s="20" t="str">
        <f>'伤害统计(理想)'!A25</f>
        <v>昆吾·弦刃</v>
      </c>
      <c r="B25" s="20">
        <f>'伤害统计(理想)'!B25</f>
        <v>48</v>
      </c>
      <c r="C25" s="20">
        <f>'伤害统计(理想)'!C25</f>
        <v>34400</v>
      </c>
      <c r="D25" s="20">
        <f>'伤害统计(理想)'!D25</f>
        <v>45792</v>
      </c>
      <c r="E25" s="20">
        <f>'伤害统计(理想)'!E25</f>
        <v>0.46875</v>
      </c>
      <c r="F25" s="20">
        <f>'伤害统计(理想)'!F25</f>
        <v>1</v>
      </c>
      <c r="G25" s="20">
        <f>'伤害统计(理想)'!G25</f>
        <v>0</v>
      </c>
      <c r="H25" s="20">
        <f>'伤害统计(理想)'!H25</f>
        <v>0</v>
      </c>
      <c r="I25" s="20">
        <f>'伤害统计(理想)'!I25</f>
        <v>0.05</v>
      </c>
      <c r="J25" s="20">
        <f>'伤害统计(理想)'!J25</f>
        <v>0.472</v>
      </c>
      <c r="K25" s="20">
        <f>'伤害统计(理想)'!K25</f>
        <v>0.1181</v>
      </c>
      <c r="L25" s="20">
        <f>'伤害统计(理想)'!L25</f>
        <v>0.177214436704937</v>
      </c>
      <c r="M25" s="20">
        <f>'伤害统计(理想)'!M25</f>
        <v>0.3473</v>
      </c>
      <c r="N25" s="20">
        <f>'伤害统计(理想)'!N25</f>
        <v>0.2</v>
      </c>
      <c r="O25" s="20">
        <f>'伤害统计(理想)'!O25</f>
        <v>0.4994</v>
      </c>
      <c r="P25" s="20">
        <f>'伤害统计(理想)'!P25</f>
        <v>0</v>
      </c>
      <c r="Q25" s="20">
        <f>'伤害统计(理想)'!Q25</f>
        <v>0.4994</v>
      </c>
      <c r="R25" s="20">
        <f>'伤害统计(理想)'!R25</f>
        <v>0.2441</v>
      </c>
      <c r="S25" s="20">
        <f>'伤害统计(理想)'!S25</f>
        <v>0.7435</v>
      </c>
      <c r="T25" s="20">
        <f>'伤害统计(理想)'!T25</f>
        <v>2.0895</v>
      </c>
      <c r="U25" s="20">
        <f>'伤害统计(理想)'!U25</f>
        <v>0</v>
      </c>
      <c r="V25" s="20">
        <f>'伤害统计(理想)'!V25</f>
        <v>2.0895</v>
      </c>
      <c r="W25" s="20">
        <f>'伤害统计(理想)'!W25</f>
        <v>0.2441</v>
      </c>
      <c r="X25" s="20">
        <f>'伤害统计(理想)'!X25</f>
        <v>2.3336</v>
      </c>
      <c r="Y25" s="20">
        <f>'伤害统计(理想)'!Y25</f>
        <v>0.2441</v>
      </c>
      <c r="Z25" s="20">
        <f>'伤害统计(理想)'!Z25</f>
        <v>2.3336</v>
      </c>
      <c r="AA25" s="20">
        <f>'伤害统计(理想)'!AA25</f>
        <v>0.1953</v>
      </c>
      <c r="AB25" s="20">
        <f>'伤害统计(理想)'!AB25</f>
        <v>2.5289</v>
      </c>
      <c r="AC25" s="20">
        <f t="shared" si="0"/>
        <v>29487</v>
      </c>
      <c r="AD25" s="20">
        <f t="shared" si="1"/>
        <v>40538</v>
      </c>
      <c r="AE25" s="20">
        <f t="shared" si="2"/>
        <v>43791</v>
      </c>
      <c r="AF25" s="20">
        <f t="shared" si="3"/>
        <v>61613</v>
      </c>
      <c r="AG25" s="20">
        <f t="shared" si="4"/>
        <v>94599</v>
      </c>
      <c r="AH25" s="20">
        <f t="shared" si="12"/>
        <v>110948</v>
      </c>
      <c r="AI25" s="20">
        <f t="shared" si="5"/>
        <v>35013</v>
      </c>
      <c r="AJ25" s="20">
        <f t="shared" si="6"/>
        <v>81706</v>
      </c>
      <c r="AK25" s="20">
        <f t="shared" si="7"/>
        <v>37822</v>
      </c>
      <c r="AL25" s="20">
        <f t="shared" si="8"/>
        <v>88261</v>
      </c>
      <c r="AM25" s="20">
        <f t="shared" si="9"/>
        <v>102516</v>
      </c>
      <c r="AN25" s="20">
        <f t="shared" si="10"/>
        <v>110743</v>
      </c>
    </row>
    <row r="26" spans="1:40">
      <c r="A26" s="20" t="str">
        <f>'伤害统计(理想)'!A26</f>
        <v>腾空·三才</v>
      </c>
      <c r="B26" s="20">
        <f>'伤害统计(理想)'!B26</f>
        <v>550865</v>
      </c>
      <c r="C26" s="20">
        <f>'伤害统计(理想)'!C26</f>
        <v>34400</v>
      </c>
      <c r="D26" s="20">
        <f>'伤害统计(理想)'!D26</f>
        <v>0</v>
      </c>
      <c r="E26" s="20">
        <f>'伤害统计(理想)'!E26</f>
        <v>1</v>
      </c>
      <c r="F26" s="20">
        <f>'伤害统计(理想)'!F26</f>
        <v>1</v>
      </c>
      <c r="G26" s="20">
        <f>'伤害统计(理想)'!G26</f>
        <v>0</v>
      </c>
      <c r="H26" s="20">
        <f>'伤害统计(理想)'!H26</f>
        <v>0</v>
      </c>
      <c r="I26" s="20">
        <f>'伤害统计(理想)'!I26</f>
        <v>0.05</v>
      </c>
      <c r="J26" s="20">
        <f>'伤害统计(理想)'!J26</f>
        <v>0.472</v>
      </c>
      <c r="K26" s="20">
        <f>'伤害统计(理想)'!K26</f>
        <v>0.1181</v>
      </c>
      <c r="L26" s="20">
        <f>'伤害统计(理想)'!L26</f>
        <v>0.177214436704937</v>
      </c>
      <c r="M26" s="20">
        <f>'伤害统计(理想)'!M26</f>
        <v>0.3473</v>
      </c>
      <c r="N26" s="20">
        <f>'伤害统计(理想)'!N26</f>
        <v>0.2</v>
      </c>
      <c r="O26" s="20">
        <f>'伤害统计(理想)'!O26</f>
        <v>0.4994</v>
      </c>
      <c r="P26" s="20">
        <f>'伤害统计(理想)'!P26</f>
        <v>0</v>
      </c>
      <c r="Q26" s="20">
        <f>'伤害统计(理想)'!Q26</f>
        <v>0.4994</v>
      </c>
      <c r="R26" s="20">
        <f>'伤害统计(理想)'!R26</f>
        <v>0.2441</v>
      </c>
      <c r="S26" s="20">
        <f>'伤害统计(理想)'!S26</f>
        <v>0.7435</v>
      </c>
      <c r="T26" s="20">
        <f>'伤害统计(理想)'!T26</f>
        <v>2.0895</v>
      </c>
      <c r="U26" s="20">
        <f>'伤害统计(理想)'!U26</f>
        <v>0</v>
      </c>
      <c r="V26" s="20">
        <f>'伤害统计(理想)'!V26</f>
        <v>2.0895</v>
      </c>
      <c r="W26" s="20">
        <f>'伤害统计(理想)'!W26</f>
        <v>0.2441</v>
      </c>
      <c r="X26" s="20">
        <f>'伤害统计(理想)'!X26</f>
        <v>2.3336</v>
      </c>
      <c r="Y26" s="20">
        <f>'伤害统计(理想)'!Y26</f>
        <v>0.2441</v>
      </c>
      <c r="Z26" s="20">
        <f>'伤害统计(理想)'!Z26</f>
        <v>2.3336</v>
      </c>
      <c r="AA26" s="20">
        <f>'伤害统计(理想)'!AA26</f>
        <v>0.1953</v>
      </c>
      <c r="AB26" s="20">
        <f>'伤害统计(理想)'!AB26</f>
        <v>2.5289</v>
      </c>
      <c r="AC26" s="20">
        <f t="shared" si="0"/>
        <v>755063</v>
      </c>
      <c r="AD26" s="20">
        <f t="shared" si="1"/>
        <v>778638</v>
      </c>
      <c r="AE26" s="20">
        <f t="shared" si="2"/>
        <v>841109</v>
      </c>
      <c r="AF26" s="20">
        <f t="shared" si="3"/>
        <v>1577704</v>
      </c>
      <c r="AG26" s="20">
        <f t="shared" si="4"/>
        <v>1817029</v>
      </c>
      <c r="AH26" s="20">
        <f t="shared" si="12"/>
        <v>2131033</v>
      </c>
      <c r="AI26" s="20">
        <f t="shared" si="5"/>
        <v>766851</v>
      </c>
      <c r="AJ26" s="20">
        <f t="shared" si="6"/>
        <v>1789523</v>
      </c>
      <c r="AK26" s="20">
        <f t="shared" si="7"/>
        <v>828376</v>
      </c>
      <c r="AL26" s="20">
        <f t="shared" si="8"/>
        <v>1933098</v>
      </c>
      <c r="AM26" s="20">
        <f t="shared" si="9"/>
        <v>1969097</v>
      </c>
      <c r="AN26" s="20">
        <f t="shared" si="10"/>
        <v>2127080</v>
      </c>
    </row>
    <row r="27" spans="1:40">
      <c r="A27" s="20" t="str">
        <f>'伤害统计(理想)'!A27</f>
        <v>腾空·凭虚</v>
      </c>
      <c r="B27" s="20">
        <f>'伤害统计(理想)'!B27</f>
        <v>568199</v>
      </c>
      <c r="C27" s="20">
        <f>'伤害统计(理想)'!C27</f>
        <v>34400</v>
      </c>
      <c r="D27" s="20">
        <f>'伤害统计(理想)'!D27</f>
        <v>0</v>
      </c>
      <c r="E27" s="20">
        <f>'伤害统计(理想)'!E27</f>
        <v>1</v>
      </c>
      <c r="F27" s="20">
        <f>'伤害统计(理想)'!F27</f>
        <v>1</v>
      </c>
      <c r="G27" s="20">
        <f>'伤害统计(理想)'!G27</f>
        <v>0</v>
      </c>
      <c r="H27" s="20">
        <f>'伤害统计(理想)'!H27</f>
        <v>0</v>
      </c>
      <c r="I27" s="20">
        <f>'伤害统计(理想)'!I27</f>
        <v>0.05</v>
      </c>
      <c r="J27" s="20">
        <f>'伤害统计(理想)'!J27</f>
        <v>0.472</v>
      </c>
      <c r="K27" s="20">
        <f>'伤害统计(理想)'!K27</f>
        <v>0.1181</v>
      </c>
      <c r="L27" s="20">
        <f>'伤害统计(理想)'!L27</f>
        <v>0.177214436704937</v>
      </c>
      <c r="M27" s="20">
        <f>'伤害统计(理想)'!M27</f>
        <v>0.3473</v>
      </c>
      <c r="N27" s="20">
        <f>'伤害统计(理想)'!N27</f>
        <v>0.2</v>
      </c>
      <c r="O27" s="20">
        <f>'伤害统计(理想)'!O27</f>
        <v>1</v>
      </c>
      <c r="P27" s="20">
        <f>'伤害统计(理想)'!P27</f>
        <v>0</v>
      </c>
      <c r="Q27" s="20">
        <f>'伤害统计(理想)'!Q27</f>
        <v>1</v>
      </c>
      <c r="R27" s="20">
        <f>'伤害统计(理想)'!R27</f>
        <v>0.2441</v>
      </c>
      <c r="S27" s="20">
        <f>'伤害统计(理想)'!S27</f>
        <v>1</v>
      </c>
      <c r="T27" s="20">
        <f>'伤害统计(理想)'!T27</f>
        <v>2.0895</v>
      </c>
      <c r="U27" s="20">
        <f>'伤害统计(理想)'!U27</f>
        <v>0</v>
      </c>
      <c r="V27" s="20">
        <f>'伤害统计(理想)'!V27</f>
        <v>2.0895</v>
      </c>
      <c r="W27" s="20">
        <f>'伤害统计(理想)'!W27</f>
        <v>0.2441</v>
      </c>
      <c r="X27" s="20">
        <f>'伤害统计(理想)'!X27</f>
        <v>2.3336</v>
      </c>
      <c r="Y27" s="20">
        <f>'伤害统计(理想)'!Y27</f>
        <v>0.2441</v>
      </c>
      <c r="Z27" s="20">
        <f>'伤害统计(理想)'!Z27</f>
        <v>2.3336</v>
      </c>
      <c r="AA27" s="20">
        <f>'伤害统计(理想)'!AA27</f>
        <v>0.1953</v>
      </c>
      <c r="AB27" s="20">
        <f>'伤害统计(理想)'!AB27</f>
        <v>2.5289</v>
      </c>
      <c r="AC27" s="20">
        <f t="shared" si="0"/>
        <v>778822</v>
      </c>
      <c r="AD27" s="20">
        <f t="shared" si="1"/>
        <v>802398</v>
      </c>
      <c r="AE27" s="20">
        <f t="shared" si="2"/>
        <v>866775</v>
      </c>
      <c r="AF27" s="20">
        <f t="shared" si="3"/>
        <v>1627348</v>
      </c>
      <c r="AG27" s="20">
        <f t="shared" si="4"/>
        <v>1872475</v>
      </c>
      <c r="AH27" s="20">
        <f t="shared" si="12"/>
        <v>2196061</v>
      </c>
      <c r="AI27" s="20">
        <f t="shared" si="5"/>
        <v>790610</v>
      </c>
      <c r="AJ27" s="20">
        <f t="shared" si="6"/>
        <v>1844967</v>
      </c>
      <c r="AK27" s="20">
        <f t="shared" si="7"/>
        <v>854041</v>
      </c>
      <c r="AL27" s="20">
        <f t="shared" si="8"/>
        <v>1992990</v>
      </c>
      <c r="AM27" s="20">
        <f t="shared" si="9"/>
        <v>2029184</v>
      </c>
      <c r="AN27" s="20">
        <f t="shared" si="10"/>
        <v>2191987</v>
      </c>
    </row>
    <row r="28" spans="1:40">
      <c r="A28" s="20" t="str">
        <f>'伤害统计(理想)'!A28</f>
        <v>腾空·凭虚·定</v>
      </c>
      <c r="B28" s="20">
        <f>'伤害统计(理想)'!B28</f>
        <v>141299</v>
      </c>
      <c r="C28" s="20">
        <f>'伤害统计(理想)'!C28</f>
        <v>34400</v>
      </c>
      <c r="D28" s="20">
        <f>'伤害统计(理想)'!D28</f>
        <v>0</v>
      </c>
      <c r="E28" s="20">
        <f>'伤害统计(理想)'!E28</f>
        <v>1</v>
      </c>
      <c r="F28" s="20">
        <f>'伤害统计(理想)'!F28</f>
        <v>1</v>
      </c>
      <c r="G28" s="20">
        <f>'伤害统计(理想)'!G28</f>
        <v>0</v>
      </c>
      <c r="H28" s="20">
        <f>'伤害统计(理想)'!H28</f>
        <v>0</v>
      </c>
      <c r="I28" s="20">
        <f>'伤害统计(理想)'!I28</f>
        <v>0.05</v>
      </c>
      <c r="J28" s="20">
        <f>'伤害统计(理想)'!J28</f>
        <v>0.472</v>
      </c>
      <c r="K28" s="20">
        <f>'伤害统计(理想)'!K28</f>
        <v>0.1181</v>
      </c>
      <c r="L28" s="20">
        <f>'伤害统计(理想)'!L28</f>
        <v>0.177214436704937</v>
      </c>
      <c r="M28" s="20">
        <f>'伤害统计(理想)'!M28</f>
        <v>0.3473</v>
      </c>
      <c r="N28" s="20">
        <f>'伤害统计(理想)'!N28</f>
        <v>0.2</v>
      </c>
      <c r="O28" s="20">
        <f>'伤害统计(理想)'!O28</f>
        <v>0.4994</v>
      </c>
      <c r="P28" s="20">
        <f>'伤害统计(理想)'!P28</f>
        <v>0</v>
      </c>
      <c r="Q28" s="20">
        <f>'伤害统计(理想)'!Q28</f>
        <v>0.4994</v>
      </c>
      <c r="R28" s="20">
        <f>'伤害统计(理想)'!R28</f>
        <v>0.2441</v>
      </c>
      <c r="S28" s="20">
        <f>'伤害统计(理想)'!S28</f>
        <v>0.7435</v>
      </c>
      <c r="T28" s="20">
        <f>'伤害统计(理想)'!T28</f>
        <v>2.0895</v>
      </c>
      <c r="U28" s="20">
        <f>'伤害统计(理想)'!U28</f>
        <v>0</v>
      </c>
      <c r="V28" s="20">
        <f>'伤害统计(理想)'!V28</f>
        <v>2.0895</v>
      </c>
      <c r="W28" s="20">
        <f>'伤害统计(理想)'!W28</f>
        <v>0.2441</v>
      </c>
      <c r="X28" s="20">
        <f>'伤害统计(理想)'!X28</f>
        <v>2.3336</v>
      </c>
      <c r="Y28" s="20">
        <f>'伤害统计(理想)'!Y28</f>
        <v>0.2441</v>
      </c>
      <c r="Z28" s="20">
        <f>'伤害统计(理想)'!Z28</f>
        <v>2.3336</v>
      </c>
      <c r="AA28" s="20">
        <f>'伤害统计(理想)'!AA28</f>
        <v>0.1953</v>
      </c>
      <c r="AB28" s="20">
        <f>'伤害统计(理想)'!AB28</f>
        <v>2.5289</v>
      </c>
      <c r="AC28" s="20">
        <f t="shared" si="0"/>
        <v>193676</v>
      </c>
      <c r="AD28" s="20">
        <f t="shared" si="1"/>
        <v>217252</v>
      </c>
      <c r="AE28" s="20">
        <f t="shared" si="2"/>
        <v>234682</v>
      </c>
      <c r="AF28" s="20">
        <f t="shared" si="3"/>
        <v>404686</v>
      </c>
      <c r="AG28" s="20">
        <f t="shared" si="4"/>
        <v>506979</v>
      </c>
      <c r="AH28" s="20">
        <f t="shared" si="12"/>
        <v>594590</v>
      </c>
      <c r="AI28" s="20">
        <f t="shared" si="5"/>
        <v>205464</v>
      </c>
      <c r="AJ28" s="20">
        <f t="shared" si="6"/>
        <v>479470</v>
      </c>
      <c r="AK28" s="20">
        <f t="shared" si="7"/>
        <v>221949</v>
      </c>
      <c r="AL28" s="20">
        <f t="shared" si="8"/>
        <v>517940</v>
      </c>
      <c r="AM28" s="20">
        <f t="shared" si="9"/>
        <v>549408</v>
      </c>
      <c r="AN28" s="20">
        <f t="shared" si="10"/>
        <v>593487</v>
      </c>
    </row>
    <row r="29" spans="1:40">
      <c r="A29" s="20" t="str">
        <f>'伤害统计(理想)'!A29</f>
        <v>气竭(DOT)</v>
      </c>
      <c r="B29" s="20">
        <f>'伤害统计(理想)'!B29</f>
        <v>50</v>
      </c>
      <c r="C29" s="20">
        <f>'伤害统计(理想)'!C29</f>
        <v>34400</v>
      </c>
      <c r="D29" s="20">
        <f>'伤害统计(理想)'!D29</f>
        <v>45792</v>
      </c>
      <c r="E29" s="20">
        <f>'伤害统计(理想)'!E29</f>
        <v>0.5078125</v>
      </c>
      <c r="F29" s="20">
        <f>'伤害统计(理想)'!F29</f>
        <v>1</v>
      </c>
      <c r="G29" s="20">
        <f>'伤害统计(理想)'!G29</f>
        <v>0</v>
      </c>
      <c r="H29" s="20">
        <f>'伤害统计(理想)'!H29</f>
        <v>0</v>
      </c>
      <c r="I29" s="20">
        <f>'伤害统计(理想)'!I29</f>
        <v>0.05</v>
      </c>
      <c r="J29" s="20">
        <f>'伤害统计(理想)'!J29</f>
        <v>0.472</v>
      </c>
      <c r="K29" s="20">
        <f>'伤害统计(理想)'!K29</f>
        <v>0.1181</v>
      </c>
      <c r="L29" s="20">
        <f>'伤害统计(理想)'!L29</f>
        <v>0.177214436704937</v>
      </c>
      <c r="M29" s="20">
        <f>'伤害统计(理想)'!M29</f>
        <v>0.3473</v>
      </c>
      <c r="N29" s="20">
        <f>'伤害统计(理想)'!N29</f>
        <v>0.2</v>
      </c>
      <c r="O29" s="20">
        <f>'伤害统计(理想)'!O29</f>
        <v>0.4994</v>
      </c>
      <c r="P29" s="20">
        <f>'伤害统计(理想)'!P29</f>
        <v>0</v>
      </c>
      <c r="Q29" s="20">
        <f>'伤害统计(理想)'!Q29</f>
        <v>0.4994</v>
      </c>
      <c r="R29" s="20">
        <f>'伤害统计(理想)'!R29</f>
        <v>0.2441</v>
      </c>
      <c r="S29" s="20">
        <f>'伤害统计(理想)'!S29</f>
        <v>0.7435</v>
      </c>
      <c r="T29" s="20">
        <f>'伤害统计(理想)'!T29</f>
        <v>2.0895</v>
      </c>
      <c r="U29" s="20">
        <f>'伤害统计(理想)'!U29</f>
        <v>0</v>
      </c>
      <c r="V29" s="20">
        <f>'伤害统计(理想)'!V29</f>
        <v>2.0895</v>
      </c>
      <c r="W29" s="20">
        <f>'伤害统计(理想)'!W29</f>
        <v>0.2441</v>
      </c>
      <c r="X29" s="20">
        <f>'伤害统计(理想)'!X29</f>
        <v>2.3336</v>
      </c>
      <c r="Y29" s="20">
        <f>'伤害统计(理想)'!Y29</f>
        <v>0.2441</v>
      </c>
      <c r="Z29" s="20">
        <f>'伤害统计(理想)'!Z29</f>
        <v>2.3336</v>
      </c>
      <c r="AA29" s="20">
        <f>'伤害统计(理想)'!AA29</f>
        <v>0.1953</v>
      </c>
      <c r="AB29" s="20">
        <f>'伤害统计(理想)'!AB29</f>
        <v>2.5289</v>
      </c>
      <c r="AC29" s="20">
        <f t="shared" si="0"/>
        <v>31941</v>
      </c>
      <c r="AD29" s="20">
        <f t="shared" si="1"/>
        <v>43914</v>
      </c>
      <c r="AE29" s="20">
        <f t="shared" si="2"/>
        <v>47437</v>
      </c>
      <c r="AF29" s="20">
        <f t="shared" si="3"/>
        <v>66740</v>
      </c>
      <c r="AG29" s="20">
        <f t="shared" si="4"/>
        <v>102477</v>
      </c>
      <c r="AH29" s="20">
        <f t="shared" si="12"/>
        <v>120186</v>
      </c>
      <c r="AI29" s="20">
        <f t="shared" si="5"/>
        <v>37928</v>
      </c>
      <c r="AJ29" s="20">
        <f t="shared" si="6"/>
        <v>88508</v>
      </c>
      <c r="AK29" s="20">
        <f t="shared" si="7"/>
        <v>40971</v>
      </c>
      <c r="AL29" s="20">
        <f t="shared" si="8"/>
        <v>95609</v>
      </c>
      <c r="AM29" s="20">
        <f t="shared" si="9"/>
        <v>111054</v>
      </c>
      <c r="AN29" s="20">
        <f t="shared" si="10"/>
        <v>119963</v>
      </c>
    </row>
    <row r="30" spans="1:40">
      <c r="A30" s="20" t="str">
        <f>'伤害统计(理想)'!A30</f>
        <v>星辰</v>
      </c>
      <c r="B30" s="20">
        <f>'伤害统计(理想)'!B30</f>
        <v>1038</v>
      </c>
      <c r="C30" s="20">
        <f>'伤害统计(理想)'!C30</f>
        <v>34400</v>
      </c>
      <c r="D30" s="20">
        <f>'伤害统计(理想)'!D30</f>
        <v>45792</v>
      </c>
      <c r="E30" s="20">
        <f>'伤害统计(理想)'!E30</f>
        <v>0.99609375</v>
      </c>
      <c r="F30" s="20">
        <f>'伤害统计(理想)'!F30</f>
        <v>1</v>
      </c>
      <c r="G30" s="20">
        <f>'伤害统计(理想)'!G30</f>
        <v>0</v>
      </c>
      <c r="H30" s="20">
        <f>'伤害统计(理想)'!H30</f>
        <v>0</v>
      </c>
      <c r="I30" s="20">
        <f>'伤害统计(理想)'!I30</f>
        <v>0.05</v>
      </c>
      <c r="J30" s="20">
        <f>'伤害统计(理想)'!J30</f>
        <v>0.472</v>
      </c>
      <c r="K30" s="20">
        <f>'伤害统计(理想)'!K30</f>
        <v>0.1181</v>
      </c>
      <c r="L30" s="20">
        <f>'伤害统计(理想)'!L30</f>
        <v>0.177214436704937</v>
      </c>
      <c r="M30" s="20">
        <f>'伤害统计(理想)'!M30</f>
        <v>0.3473</v>
      </c>
      <c r="N30" s="20">
        <f>'伤害统计(理想)'!N30</f>
        <v>0.2</v>
      </c>
      <c r="O30" s="20">
        <f>'伤害统计(理想)'!O30</f>
        <v>0.4994</v>
      </c>
      <c r="P30" s="20">
        <f>'伤害统计(理想)'!P30</f>
        <v>0</v>
      </c>
      <c r="Q30" s="20">
        <f>'伤害统计(理想)'!Q30</f>
        <v>0.4994</v>
      </c>
      <c r="R30" s="20">
        <f>'伤害统计(理想)'!R30</f>
        <v>0.2441</v>
      </c>
      <c r="S30" s="20">
        <f>'伤害统计(理想)'!S30</f>
        <v>0.7435</v>
      </c>
      <c r="T30" s="20">
        <f>'伤害统计(理想)'!T30</f>
        <v>2.0895</v>
      </c>
      <c r="U30" s="20">
        <f>'伤害统计(理想)'!U30</f>
        <v>0</v>
      </c>
      <c r="V30" s="20">
        <f>'伤害统计(理想)'!V30</f>
        <v>2.0895</v>
      </c>
      <c r="W30" s="20">
        <f>'伤害统计(理想)'!W30</f>
        <v>0.2441</v>
      </c>
      <c r="X30" s="20">
        <f>'伤害统计(理想)'!X30</f>
        <v>2.3336</v>
      </c>
      <c r="Y30" s="20">
        <f>'伤害统计(理想)'!Y30</f>
        <v>0.2441</v>
      </c>
      <c r="Z30" s="20">
        <f>'伤害统计(理想)'!Z30</f>
        <v>2.3336</v>
      </c>
      <c r="AA30" s="20">
        <f>'伤害统计(理想)'!AA30</f>
        <v>0.1953</v>
      </c>
      <c r="AB30" s="20">
        <f>'伤害统计(理想)'!AB30</f>
        <v>2.5289</v>
      </c>
      <c r="AC30" s="20">
        <f t="shared" si="0"/>
        <v>63943</v>
      </c>
      <c r="AD30" s="20">
        <f t="shared" si="1"/>
        <v>87427</v>
      </c>
      <c r="AE30" s="20">
        <f t="shared" si="2"/>
        <v>94442</v>
      </c>
      <c r="AF30" s="20">
        <f t="shared" si="3"/>
        <v>133608</v>
      </c>
      <c r="AG30" s="20">
        <f t="shared" si="4"/>
        <v>204019</v>
      </c>
      <c r="AH30" s="20">
        <f t="shared" si="12"/>
        <v>239278</v>
      </c>
      <c r="AI30" s="20">
        <f t="shared" si="5"/>
        <v>75685</v>
      </c>
      <c r="AJ30" s="20">
        <f t="shared" si="6"/>
        <v>176618</v>
      </c>
      <c r="AK30" s="20">
        <f t="shared" si="7"/>
        <v>81758</v>
      </c>
      <c r="AL30" s="20">
        <f t="shared" si="8"/>
        <v>190790</v>
      </c>
      <c r="AM30" s="20">
        <f t="shared" si="9"/>
        <v>221094</v>
      </c>
      <c r="AN30" s="20">
        <f t="shared" si="10"/>
        <v>238834</v>
      </c>
    </row>
    <row r="31" spans="1:40">
      <c r="A31" s="20" t="str">
        <f>'伤害统计(理想)'!A31</f>
        <v>四象轮回·神兵</v>
      </c>
      <c r="B31" s="20">
        <f>'伤害统计(理想)'!B31</f>
        <v>21</v>
      </c>
      <c r="C31" s="20">
        <f>'伤害统计(理想)'!C31</f>
        <v>34400</v>
      </c>
      <c r="D31" s="20">
        <f>'伤害统计(理想)'!D31</f>
        <v>45792</v>
      </c>
      <c r="E31" s="20">
        <f>'伤害统计(理想)'!E31</f>
        <v>0.338541666666667</v>
      </c>
      <c r="F31" s="20">
        <f>'伤害统计(理想)'!F31</f>
        <v>1</v>
      </c>
      <c r="G31" s="20">
        <f>'伤害统计(理想)'!G31</f>
        <v>0</v>
      </c>
      <c r="H31" s="20">
        <f>'伤害统计(理想)'!H31</f>
        <v>0</v>
      </c>
      <c r="I31" s="20">
        <f>'伤害统计(理想)'!I31</f>
        <v>0.05</v>
      </c>
      <c r="J31" s="20">
        <f>'伤害统计(理想)'!J31</f>
        <v>0.472</v>
      </c>
      <c r="K31" s="20">
        <f>'伤害统计(理想)'!K31</f>
        <v>0.1181</v>
      </c>
      <c r="L31" s="20">
        <f>'伤害统计(理想)'!L31</f>
        <v>0.177214436704937</v>
      </c>
      <c r="M31" s="20">
        <f>'伤害统计(理想)'!M31</f>
        <v>0.3473</v>
      </c>
      <c r="N31" s="20">
        <f>'伤害统计(理想)'!N31</f>
        <v>0.2</v>
      </c>
      <c r="O31" s="20">
        <f>'伤害统计(理想)'!O31</f>
        <v>0.4994</v>
      </c>
      <c r="P31" s="20">
        <f>'伤害统计(理想)'!P31</f>
        <v>0</v>
      </c>
      <c r="Q31" s="20">
        <f>'伤害统计(理想)'!Q31</f>
        <v>0.4994</v>
      </c>
      <c r="R31" s="20">
        <f>'伤害统计(理想)'!R31</f>
        <v>0.2441</v>
      </c>
      <c r="S31" s="20">
        <f>'伤害统计(理想)'!S31</f>
        <v>0.7435</v>
      </c>
      <c r="T31" s="20">
        <f>'伤害统计(理想)'!T31</f>
        <v>2.0895</v>
      </c>
      <c r="U31" s="20">
        <f>'伤害统计(理想)'!U31</f>
        <v>0</v>
      </c>
      <c r="V31" s="20">
        <f>'伤害统计(理想)'!V31</f>
        <v>2.0895</v>
      </c>
      <c r="W31" s="20">
        <f>'伤害统计(理想)'!W31</f>
        <v>0.2441</v>
      </c>
      <c r="X31" s="20">
        <f>'伤害统计(理想)'!X31</f>
        <v>2.3336</v>
      </c>
      <c r="Y31" s="20">
        <f>'伤害统计(理想)'!Y31</f>
        <v>0.2441</v>
      </c>
      <c r="Z31" s="20">
        <f>'伤害统计(理想)'!Z31</f>
        <v>2.3336</v>
      </c>
      <c r="AA31" s="20">
        <f>'伤害统计(理想)'!AA31</f>
        <v>0.1953</v>
      </c>
      <c r="AB31" s="20">
        <f>'伤害统计(理想)'!AB31</f>
        <v>2.5289</v>
      </c>
      <c r="AC31" s="20">
        <f t="shared" si="0"/>
        <v>21277</v>
      </c>
      <c r="AD31" s="20">
        <f t="shared" si="1"/>
        <v>29259</v>
      </c>
      <c r="AE31" s="20">
        <f t="shared" si="2"/>
        <v>31606</v>
      </c>
      <c r="AF31" s="20">
        <f t="shared" si="3"/>
        <v>44458</v>
      </c>
      <c r="AG31" s="20">
        <f t="shared" si="4"/>
        <v>68278</v>
      </c>
      <c r="AH31" s="20">
        <f t="shared" si="12"/>
        <v>80076</v>
      </c>
      <c r="AI31" s="20">
        <f t="shared" si="5"/>
        <v>25268</v>
      </c>
      <c r="AJ31" s="20">
        <f t="shared" si="6"/>
        <v>58965</v>
      </c>
      <c r="AK31" s="20">
        <f t="shared" si="7"/>
        <v>27295</v>
      </c>
      <c r="AL31" s="20">
        <f t="shared" si="8"/>
        <v>63695</v>
      </c>
      <c r="AM31" s="20">
        <f t="shared" si="9"/>
        <v>73993</v>
      </c>
      <c r="AN31" s="20">
        <f t="shared" si="10"/>
        <v>79928</v>
      </c>
    </row>
    <row r="32" spans="1:40">
      <c r="A32" s="20" t="str">
        <f>'伤害统计(理想)'!A32</f>
        <v>太极无极(若冲)</v>
      </c>
      <c r="B32" s="20">
        <f>'伤害统计(理想)'!B32</f>
        <v>53</v>
      </c>
      <c r="C32" s="20">
        <f>'伤害统计(理想)'!C32</f>
        <v>99</v>
      </c>
      <c r="D32" s="20">
        <f>'伤害统计(理想)'!D32</f>
        <v>45792</v>
      </c>
      <c r="E32" s="20">
        <f>'伤害统计(理想)'!E32</f>
        <v>0.5</v>
      </c>
      <c r="F32" s="20">
        <f>'伤害统计(理想)'!F32</f>
        <v>1</v>
      </c>
      <c r="G32" s="20">
        <f>'伤害统计(理想)'!G32</f>
        <v>0.5</v>
      </c>
      <c r="H32" s="20">
        <f>'伤害统计(理想)'!H32</f>
        <v>0.3</v>
      </c>
      <c r="I32" s="20">
        <f>'伤害统计(理想)'!I32</f>
        <v>0.05</v>
      </c>
      <c r="J32" s="20">
        <f>'伤害统计(理想)'!J32</f>
        <v>0.472</v>
      </c>
      <c r="K32" s="20">
        <f>'伤害统计(理想)'!K32</f>
        <v>0.1181</v>
      </c>
      <c r="L32" s="20">
        <f>'伤害统计(理想)'!L32</f>
        <v>0.177214436704937</v>
      </c>
      <c r="M32" s="20">
        <f>'伤害统计(理想)'!M32</f>
        <v>0.3473</v>
      </c>
      <c r="N32" s="20">
        <f>'伤害统计(理想)'!N32</f>
        <v>0.2</v>
      </c>
      <c r="O32" s="20">
        <f>'伤害统计(理想)'!O32</f>
        <v>0.4994</v>
      </c>
      <c r="P32" s="20">
        <f>'伤害统计(理想)'!P32</f>
        <v>0</v>
      </c>
      <c r="Q32" s="20">
        <f>'伤害统计(理想)'!Q32</f>
        <v>0.4994</v>
      </c>
      <c r="R32" s="20">
        <f>'伤害统计(理想)'!R32</f>
        <v>0.2441</v>
      </c>
      <c r="S32" s="20">
        <f>'伤害统计(理想)'!S32</f>
        <v>0.7435</v>
      </c>
      <c r="T32" s="20">
        <f>'伤害统计(理想)'!T32</f>
        <v>2.0895</v>
      </c>
      <c r="U32" s="20">
        <f>'伤害统计(理想)'!U32</f>
        <v>0</v>
      </c>
      <c r="V32" s="20">
        <f>'伤害统计(理想)'!V32</f>
        <v>2.0895</v>
      </c>
      <c r="W32" s="20">
        <f>'伤害统计(理想)'!W32</f>
        <v>0.2441</v>
      </c>
      <c r="X32" s="20">
        <f>'伤害统计(理想)'!X32</f>
        <v>2.3336</v>
      </c>
      <c r="Y32" s="20">
        <f>'伤害统计(理想)'!Y32</f>
        <v>0.2441</v>
      </c>
      <c r="Z32" s="20">
        <f>'伤害统计(理想)'!Z32</f>
        <v>2.3336</v>
      </c>
      <c r="AA32" s="20">
        <f>'伤害统计(理想)'!AA32</f>
        <v>0.1953</v>
      </c>
      <c r="AB32" s="20">
        <f>'伤害统计(理想)'!AB32</f>
        <v>2.5289</v>
      </c>
      <c r="AC32" s="20">
        <f t="shared" si="0"/>
        <v>56620</v>
      </c>
      <c r="AD32" s="20">
        <f t="shared" si="1"/>
        <v>56681</v>
      </c>
      <c r="AE32" s="20">
        <f t="shared" si="2"/>
        <v>61229</v>
      </c>
      <c r="AF32" s="20">
        <f t="shared" si="3"/>
        <v>118307</v>
      </c>
      <c r="AG32" s="20">
        <f t="shared" si="4"/>
        <v>132270</v>
      </c>
      <c r="AH32" s="20">
        <f t="shared" si="12"/>
        <v>155129</v>
      </c>
      <c r="AI32" s="20">
        <f t="shared" si="5"/>
        <v>56651</v>
      </c>
      <c r="AJ32" s="20">
        <f t="shared" si="6"/>
        <v>132200</v>
      </c>
      <c r="AK32" s="20">
        <f t="shared" si="7"/>
        <v>61196</v>
      </c>
      <c r="AL32" s="20">
        <f t="shared" si="8"/>
        <v>142806</v>
      </c>
      <c r="AM32" s="20">
        <f t="shared" si="9"/>
        <v>143340</v>
      </c>
      <c r="AN32" s="20">
        <f t="shared" si="10"/>
        <v>154842</v>
      </c>
    </row>
    <row r="33" spans="1:29">
      <c r="A33" s="20">
        <f>'伤害统计(理想)'!A33</f>
        <v>0</v>
      </c>
      <c r="B33" s="20">
        <f>'伤害统计(理想)'!B33</f>
        <v>0</v>
      </c>
      <c r="C33" s="20">
        <f>'伤害统计(理想)'!C33</f>
        <v>0</v>
      </c>
      <c r="D33" s="20">
        <f>'伤害统计(理想)'!D33</f>
        <v>0</v>
      </c>
      <c r="E33" s="20">
        <f>'伤害统计(理想)'!E33</f>
        <v>0</v>
      </c>
      <c r="F33" s="20">
        <f>'伤害统计(理想)'!F33</f>
        <v>0</v>
      </c>
      <c r="G33" s="20">
        <f>'伤害统计(理想)'!G33</f>
        <v>0</v>
      </c>
      <c r="H33" s="20">
        <f>'伤害统计(理想)'!H33</f>
        <v>0</v>
      </c>
      <c r="I33" s="20">
        <f>'伤害统计(理想)'!I33</f>
        <v>0</v>
      </c>
      <c r="J33" s="20">
        <f>'伤害统计(理想)'!J33</f>
        <v>0</v>
      </c>
      <c r="K33" s="20">
        <f>'伤害统计(理想)'!K33</f>
        <v>0</v>
      </c>
      <c r="L33" s="20">
        <f>'伤害统计(理想)'!L33</f>
        <v>0</v>
      </c>
      <c r="M33" s="20">
        <f>'伤害统计(理想)'!M33</f>
        <v>0</v>
      </c>
      <c r="N33" s="20">
        <f>'伤害统计(理想)'!N33</f>
        <v>0</v>
      </c>
      <c r="O33" s="20">
        <f>'伤害统计(理想)'!O33</f>
        <v>0</v>
      </c>
      <c r="P33" s="20">
        <f>'伤害统计(理想)'!P33</f>
        <v>0</v>
      </c>
      <c r="Q33" s="20">
        <f>'伤害统计(理想)'!Q33</f>
        <v>0</v>
      </c>
      <c r="R33" s="20">
        <f>'伤害统计(理想)'!R33</f>
        <v>0</v>
      </c>
      <c r="S33" s="20">
        <f>'伤害统计(理想)'!S33</f>
        <v>0</v>
      </c>
      <c r="T33" s="20">
        <f>'伤害统计(理想)'!T33</f>
        <v>0</v>
      </c>
      <c r="U33" s="20">
        <f>'伤害统计(理想)'!U33</f>
        <v>0</v>
      </c>
      <c r="V33" s="20">
        <f>'伤害统计(理想)'!V33</f>
        <v>0</v>
      </c>
      <c r="W33" s="20">
        <f>'伤害统计(理想)'!W33</f>
        <v>0</v>
      </c>
      <c r="X33" s="20">
        <f>'伤害统计(理想)'!X33</f>
        <v>0</v>
      </c>
      <c r="Y33" s="20">
        <f>'伤害统计(理想)'!Y33</f>
        <v>0</v>
      </c>
      <c r="Z33" s="20">
        <f>'伤害统计(理想)'!Z33</f>
        <v>0</v>
      </c>
      <c r="AA33" s="20">
        <f>'伤害统计(理想)'!AA33</f>
        <v>0</v>
      </c>
      <c r="AB33" s="20">
        <f>'伤害统计(理想)'!AB33</f>
        <v>0</v>
      </c>
      <c r="AC33" s="29"/>
    </row>
    <row r="34" spans="1:29">
      <c r="A34" s="20">
        <f>'伤害统计(理想)'!A34</f>
        <v>0</v>
      </c>
      <c r="B34" s="20">
        <f>'伤害统计(理想)'!B34</f>
        <v>0</v>
      </c>
      <c r="C34" s="20">
        <f>'伤害统计(理想)'!C34</f>
        <v>0</v>
      </c>
      <c r="D34" s="20">
        <f>'伤害统计(理想)'!D34</f>
        <v>0</v>
      </c>
      <c r="E34" s="20">
        <f>'伤害统计(理想)'!E34</f>
        <v>0</v>
      </c>
      <c r="F34" s="20">
        <f>'伤害统计(理想)'!F34</f>
        <v>0</v>
      </c>
      <c r="G34" s="20">
        <f>'伤害统计(理想)'!G34</f>
        <v>0</v>
      </c>
      <c r="H34" s="20">
        <f>'伤害统计(理想)'!H34</f>
        <v>0</v>
      </c>
      <c r="I34" s="20">
        <f>'伤害统计(理想)'!I34</f>
        <v>0</v>
      </c>
      <c r="J34" s="20">
        <f>'伤害统计(理想)'!J34</f>
        <v>0</v>
      </c>
      <c r="K34" s="20">
        <f>'伤害统计(理想)'!K34</f>
        <v>0</v>
      </c>
      <c r="L34" s="20">
        <f>'伤害统计(理想)'!L34</f>
        <v>0</v>
      </c>
      <c r="M34" s="20">
        <f>'伤害统计(理想)'!M34</f>
        <v>0</v>
      </c>
      <c r="N34" s="20">
        <f>'伤害统计(理想)'!N34</f>
        <v>0</v>
      </c>
      <c r="O34" s="20">
        <f>'伤害统计(理想)'!O34</f>
        <v>0</v>
      </c>
      <c r="P34" s="20">
        <f>'伤害统计(理想)'!P34</f>
        <v>0</v>
      </c>
      <c r="Q34" s="20">
        <f>'伤害统计(理想)'!Q34</f>
        <v>0</v>
      </c>
      <c r="R34" s="20">
        <f>'伤害统计(理想)'!R34</f>
        <v>0</v>
      </c>
      <c r="S34" s="20">
        <f>'伤害统计(理想)'!S34</f>
        <v>0</v>
      </c>
      <c r="T34" s="20">
        <f>'伤害统计(理想)'!T34</f>
        <v>0</v>
      </c>
      <c r="U34" s="20">
        <f>'伤害统计(理想)'!U34</f>
        <v>0</v>
      </c>
      <c r="V34" s="20">
        <f>'伤害统计(理想)'!V34</f>
        <v>0</v>
      </c>
      <c r="W34" s="20">
        <f>'伤害统计(理想)'!W34</f>
        <v>0</v>
      </c>
      <c r="X34" s="20">
        <f>'伤害统计(理想)'!X34</f>
        <v>0</v>
      </c>
      <c r="Y34" s="20">
        <f>'伤害统计(理想)'!Y34</f>
        <v>0</v>
      </c>
      <c r="Z34" s="20">
        <f>'伤害统计(理想)'!Z34</f>
        <v>0</v>
      </c>
      <c r="AA34" s="20">
        <f>'伤害统计(理想)'!AA34</f>
        <v>0</v>
      </c>
      <c r="AB34" s="20">
        <f>'伤害统计(理想)'!AB34</f>
        <v>0</v>
      </c>
      <c r="AC34" s="29"/>
    </row>
    <row r="35" spans="1:29">
      <c r="A35" s="20">
        <f>'伤害统计(理想)'!A35</f>
        <v>0</v>
      </c>
      <c r="B35" s="20">
        <f>'伤害统计(理想)'!B35</f>
        <v>0</v>
      </c>
      <c r="C35" s="20">
        <f>'伤害统计(理想)'!C35</f>
        <v>0</v>
      </c>
      <c r="D35" s="20">
        <f>'伤害统计(理想)'!D35</f>
        <v>0</v>
      </c>
      <c r="E35" s="20">
        <f>'伤害统计(理想)'!E35</f>
        <v>0</v>
      </c>
      <c r="F35" s="20">
        <f>'伤害统计(理想)'!F35</f>
        <v>0</v>
      </c>
      <c r="G35" s="20">
        <f>'伤害统计(理想)'!G35</f>
        <v>0</v>
      </c>
      <c r="H35" s="20">
        <f>'伤害统计(理想)'!H35</f>
        <v>0</v>
      </c>
      <c r="I35" s="20">
        <f>'伤害统计(理想)'!I35</f>
        <v>0</v>
      </c>
      <c r="J35" s="20">
        <f>'伤害统计(理想)'!J35</f>
        <v>0</v>
      </c>
      <c r="K35" s="20">
        <f>'伤害统计(理想)'!K35</f>
        <v>0</v>
      </c>
      <c r="L35" s="20">
        <f>'伤害统计(理想)'!L35</f>
        <v>0</v>
      </c>
      <c r="M35" s="20">
        <f>'伤害统计(理想)'!M35</f>
        <v>0</v>
      </c>
      <c r="N35" s="20">
        <f>'伤害统计(理想)'!N35</f>
        <v>0</v>
      </c>
      <c r="O35" s="20">
        <f>'伤害统计(理想)'!O35</f>
        <v>0</v>
      </c>
      <c r="P35" s="20">
        <f>'伤害统计(理想)'!P35</f>
        <v>0</v>
      </c>
      <c r="Q35" s="20">
        <f>'伤害统计(理想)'!Q35</f>
        <v>0</v>
      </c>
      <c r="R35" s="20">
        <f>'伤害统计(理想)'!R35</f>
        <v>0</v>
      </c>
      <c r="S35" s="20">
        <f>'伤害统计(理想)'!S35</f>
        <v>0</v>
      </c>
      <c r="T35" s="20">
        <f>'伤害统计(理想)'!T35</f>
        <v>0</v>
      </c>
      <c r="U35" s="20">
        <f>'伤害统计(理想)'!U35</f>
        <v>0</v>
      </c>
      <c r="V35" s="20">
        <f>'伤害统计(理想)'!V35</f>
        <v>0</v>
      </c>
      <c r="W35" s="20">
        <f>'伤害统计(理想)'!W35</f>
        <v>0</v>
      </c>
      <c r="X35" s="20">
        <f>'伤害统计(理想)'!X35</f>
        <v>0</v>
      </c>
      <c r="Y35" s="20">
        <f>'伤害统计(理想)'!Y35</f>
        <v>0</v>
      </c>
      <c r="Z35" s="20">
        <f>'伤害统计(理想)'!Z35</f>
        <v>0</v>
      </c>
      <c r="AA35" s="20">
        <f>'伤害统计(理想)'!AA35</f>
        <v>0</v>
      </c>
      <c r="AB35" s="20">
        <f>'伤害统计(理想)'!AB35</f>
        <v>0</v>
      </c>
      <c r="AC35" s="29"/>
    </row>
    <row r="36" spans="1:29">
      <c r="A36" s="20">
        <f>'伤害统计(理想)'!A36</f>
        <v>0</v>
      </c>
      <c r="B36" s="20">
        <f>'伤害统计(理想)'!B36</f>
        <v>0</v>
      </c>
      <c r="C36" s="20">
        <f>'伤害统计(理想)'!C36</f>
        <v>0</v>
      </c>
      <c r="D36" s="20">
        <f>'伤害统计(理想)'!D36</f>
        <v>0</v>
      </c>
      <c r="E36" s="20">
        <f>'伤害统计(理想)'!E36</f>
        <v>0</v>
      </c>
      <c r="F36" s="20">
        <f>'伤害统计(理想)'!F36</f>
        <v>0</v>
      </c>
      <c r="G36" s="20">
        <f>'伤害统计(理想)'!G36</f>
        <v>0</v>
      </c>
      <c r="H36" s="20">
        <f>'伤害统计(理想)'!H36</f>
        <v>0</v>
      </c>
      <c r="I36" s="20">
        <f>'伤害统计(理想)'!I36</f>
        <v>0</v>
      </c>
      <c r="J36" s="20">
        <f>'伤害统计(理想)'!J36</f>
        <v>0</v>
      </c>
      <c r="K36" s="20">
        <f>'伤害统计(理想)'!K36</f>
        <v>0</v>
      </c>
      <c r="L36" s="20">
        <f>'伤害统计(理想)'!L36</f>
        <v>0</v>
      </c>
      <c r="M36" s="20">
        <f>'伤害统计(理想)'!M36</f>
        <v>0</v>
      </c>
      <c r="N36" s="20">
        <f>'伤害统计(理想)'!N36</f>
        <v>0</v>
      </c>
      <c r="O36" s="20">
        <f>'伤害统计(理想)'!O36</f>
        <v>0</v>
      </c>
      <c r="P36" s="20">
        <f>'伤害统计(理想)'!P36</f>
        <v>0</v>
      </c>
      <c r="Q36" s="20">
        <f>'伤害统计(理想)'!Q36</f>
        <v>0</v>
      </c>
      <c r="R36" s="20">
        <f>'伤害统计(理想)'!R36</f>
        <v>0</v>
      </c>
      <c r="S36" s="20">
        <f>'伤害统计(理想)'!S36</f>
        <v>0</v>
      </c>
      <c r="T36" s="20">
        <f>'伤害统计(理想)'!T36</f>
        <v>0</v>
      </c>
      <c r="U36" s="20">
        <f>'伤害统计(理想)'!U36</f>
        <v>0</v>
      </c>
      <c r="V36" s="20">
        <f>'伤害统计(理想)'!V36</f>
        <v>0</v>
      </c>
      <c r="W36" s="20">
        <f>'伤害统计(理想)'!W36</f>
        <v>0</v>
      </c>
      <c r="X36" s="20">
        <f>'伤害统计(理想)'!X36</f>
        <v>0</v>
      </c>
      <c r="Y36" s="20">
        <f>'伤害统计(理想)'!Y36</f>
        <v>0</v>
      </c>
      <c r="Z36" s="20">
        <f>'伤害统计(理想)'!Z36</f>
        <v>0</v>
      </c>
      <c r="AA36" s="20">
        <f>'伤害统计(理想)'!AA36</f>
        <v>0</v>
      </c>
      <c r="AB36" s="20">
        <f>'伤害统计(理想)'!AB36</f>
        <v>0</v>
      </c>
      <c r="AC36" s="29"/>
    </row>
    <row r="37" spans="1:29">
      <c r="A37" s="20">
        <f>'伤害统计(理想)'!A37</f>
        <v>0</v>
      </c>
      <c r="B37" s="20" t="str">
        <f>'伤害统计(理想)'!B37</f>
        <v>常规</v>
      </c>
      <c r="C37" s="20" t="str">
        <f>'伤害统计(理想)'!C37</f>
        <v>小紫</v>
      </c>
      <c r="D37" s="20" t="str">
        <f>'伤害统计(理想)'!D37</f>
        <v>大紫</v>
      </c>
      <c r="E37" s="20" t="str">
        <f>'伤害统计(理想)'!E37</f>
        <v>大紫会神</v>
      </c>
      <c r="F37" s="20" t="str">
        <f>'伤害统计(理想)'!F37</f>
        <v>腰坠常规</v>
      </c>
      <c r="G37" s="20" t="str">
        <f>'伤害统计(理想)'!G37</f>
        <v>腰坠小紫</v>
      </c>
      <c r="H37" s="20" t="str">
        <f>'伤害统计(理想)'!H37</f>
        <v>腰坠大紫</v>
      </c>
      <c r="I37" s="20" t="str">
        <f>'伤害统计(理想)'!I37</f>
        <v>腰坠大紫会神</v>
      </c>
      <c r="J37" s="20">
        <f>'伤害统计(理想)'!J37</f>
        <v>0</v>
      </c>
      <c r="K37" s="20">
        <f>'伤害统计(理想)'!K37</f>
        <v>0</v>
      </c>
      <c r="L37" s="20" t="str">
        <f>'伤害统计(理想)'!L37</f>
        <v>技能数统计</v>
      </c>
      <c r="M37" s="20" t="str">
        <f>'伤害统计(理想)'!M37</f>
        <v>不可修改</v>
      </c>
      <c r="N37" s="20">
        <f>'伤害统计(理想)'!N37</f>
        <v>0</v>
      </c>
      <c r="O37" s="20">
        <f>'伤害统计(理想)'!O37</f>
        <v>0</v>
      </c>
      <c r="P37" s="20">
        <f>'伤害统计(理想)'!P37</f>
        <v>0</v>
      </c>
      <c r="Q37" s="20">
        <f>'伤害统计(理想)'!Q37</f>
        <v>0</v>
      </c>
      <c r="R37" s="20">
        <f>'伤害统计(理想)'!R37</f>
        <v>0</v>
      </c>
      <c r="S37" s="20">
        <f>'伤害统计(理想)'!S37</f>
        <v>0</v>
      </c>
      <c r="T37" s="20">
        <f>'伤害统计(理想)'!T37</f>
        <v>0</v>
      </c>
      <c r="U37" s="20">
        <f>'伤害统计(理想)'!U37</f>
        <v>0</v>
      </c>
      <c r="V37" s="20">
        <f>'伤害统计(理想)'!V37</f>
        <v>0</v>
      </c>
      <c r="W37" s="20">
        <f>'伤害统计(理想)'!W37</f>
        <v>0</v>
      </c>
      <c r="X37" s="20">
        <f>'伤害统计(理想)'!X37</f>
        <v>0</v>
      </c>
      <c r="Y37" s="20">
        <f>'伤害统计(理想)'!Y37</f>
        <v>0</v>
      </c>
      <c r="Z37" s="20">
        <f>'伤害统计(理想)'!Z37</f>
        <v>0</v>
      </c>
      <c r="AA37" s="20">
        <f>'伤害统计(理想)'!AA37</f>
        <v>0</v>
      </c>
      <c r="AB37" s="20">
        <f>'伤害统计(理想)'!AB37</f>
        <v>0</v>
      </c>
      <c r="AC37" s="29"/>
    </row>
    <row r="38" spans="1:29">
      <c r="A38" s="20" t="str">
        <f>'伤害统计(理想)'!A38</f>
        <v>万世二段</v>
      </c>
      <c r="B38" s="20">
        <f>'伤害统计(理想)'!B38</f>
        <v>7</v>
      </c>
      <c r="C38" s="20">
        <f>'伤害统计(理想)'!C38</f>
        <v>0</v>
      </c>
      <c r="D38" s="20">
        <f>'伤害统计(理想)'!D38</f>
        <v>0</v>
      </c>
      <c r="E38" s="20">
        <f>'伤害统计(理想)'!E38</f>
        <v>0</v>
      </c>
      <c r="F38" s="20">
        <f>'伤害统计(理想)'!F38</f>
        <v>0</v>
      </c>
      <c r="G38" s="20">
        <f>'伤害统计(理想)'!G38</f>
        <v>0</v>
      </c>
      <c r="H38" s="20">
        <f>'伤害统计(理想)'!H38</f>
        <v>0</v>
      </c>
      <c r="I38" s="20">
        <f>'伤害统计(理想)'!I38</f>
        <v>0</v>
      </c>
      <c r="J38" s="20">
        <f>'伤害统计(理想)'!J38</f>
        <v>0</v>
      </c>
      <c r="K38" s="20">
        <f>'伤害统计(理想)'!K38</f>
        <v>7</v>
      </c>
      <c r="L38" s="20">
        <f>'伤害统计(理想)'!L38</f>
        <v>7</v>
      </c>
      <c r="M38" s="20">
        <f>'伤害统计(理想)'!M38</f>
        <v>7</v>
      </c>
      <c r="N38" s="20" t="str">
        <f>'伤害统计(理想)'!N38</f>
        <v>伤害统计</v>
      </c>
      <c r="O38" s="20">
        <f>'伤害统计(理想)'!O38</f>
        <v>0</v>
      </c>
      <c r="P38" s="20">
        <f>'伤害统计(理想)'!P38</f>
        <v>0</v>
      </c>
      <c r="Q38" s="20">
        <f>'伤害统计(理想)'!Q38</f>
        <v>0</v>
      </c>
      <c r="R38" s="20">
        <f>'伤害统计(理想)'!R38</f>
        <v>0</v>
      </c>
      <c r="S38" s="20">
        <f>'伤害统计(理想)'!S38</f>
        <v>0</v>
      </c>
      <c r="T38" s="20">
        <f>'伤害统计(理想)'!T38</f>
        <v>0</v>
      </c>
      <c r="U38" s="20">
        <f>'伤害统计(理想)'!U38</f>
        <v>0</v>
      </c>
      <c r="V38" s="20">
        <f>'伤害统计(理想)'!V38</f>
        <v>0</v>
      </c>
      <c r="W38" s="20">
        <f>'伤害统计(理想)'!W38</f>
        <v>0</v>
      </c>
      <c r="X38" s="20">
        <f>'伤害统计(理想)'!X38</f>
        <v>0</v>
      </c>
      <c r="Y38" s="20">
        <f>'伤害统计(理想)'!Y38</f>
        <v>0</v>
      </c>
      <c r="Z38" s="20">
        <f>'伤害统计(理想)'!Z38</f>
        <v>0</v>
      </c>
      <c r="AA38" s="20">
        <f>'伤害统计(理想)'!AA38</f>
        <v>0</v>
      </c>
      <c r="AB38" s="20">
        <f>'伤害统计(理想)'!AB38</f>
        <v>0</v>
      </c>
      <c r="AC38" s="29"/>
    </row>
    <row r="39" spans="1:29">
      <c r="A39" s="20" t="str">
        <f>'伤害统计(理想)'!A39</f>
        <v>飞剑1</v>
      </c>
      <c r="B39" s="20">
        <f>'伤害统计(理想)'!B39</f>
        <v>99</v>
      </c>
      <c r="C39" s="20">
        <f>'伤害统计(理想)'!C39</f>
        <v>0</v>
      </c>
      <c r="D39" s="20">
        <f>'伤害统计(理想)'!D39</f>
        <v>5</v>
      </c>
      <c r="E39" s="20">
        <f>'伤害统计(理想)'!E39</f>
        <v>10</v>
      </c>
      <c r="F39" s="20">
        <f>'伤害统计(理想)'!F39</f>
        <v>2</v>
      </c>
      <c r="G39" s="20">
        <f>'伤害统计(理想)'!G39</f>
        <v>0</v>
      </c>
      <c r="H39" s="20">
        <f>'伤害统计(理想)'!H39</f>
        <v>2</v>
      </c>
      <c r="I39" s="20">
        <f>'伤害统计(理想)'!I39</f>
        <v>4</v>
      </c>
      <c r="J39" s="20">
        <f>'伤害统计(理想)'!J39</f>
        <v>0</v>
      </c>
      <c r="K39" s="20">
        <f>'伤害统计(理想)'!K39</f>
        <v>122</v>
      </c>
      <c r="L39" s="20">
        <f>'伤害统计(理想)'!L39</f>
        <v>610</v>
      </c>
      <c r="M39" s="20">
        <f>'伤害统计(理想)'!M39</f>
        <v>115</v>
      </c>
      <c r="N39" s="20">
        <f>'伤害统计(理想)'!N39</f>
        <v>0</v>
      </c>
      <c r="O39" s="20" t="str">
        <f>'伤害统计(理想)'!O39</f>
        <v>技能名称</v>
      </c>
      <c r="P39" s="20" t="str">
        <f>'伤害统计(理想)'!P39</f>
        <v>次数</v>
      </c>
      <c r="Q39" s="20" t="str">
        <f>'伤害统计(理想)'!Q39</f>
        <v>正常伤害</v>
      </c>
      <c r="R39" s="20" t="str">
        <f>'伤害统计(理想)'!R39</f>
        <v>伤害占比</v>
      </c>
      <c r="S39" s="20">
        <f>'伤害统计(理想)'!S39</f>
        <v>0</v>
      </c>
      <c r="T39" s="20">
        <f>'伤害统计(理想)'!T39</f>
        <v>0</v>
      </c>
      <c r="U39" s="20">
        <f>'伤害统计(理想)'!U39</f>
        <v>0</v>
      </c>
      <c r="V39" s="20">
        <f>'伤害统计(理想)'!V39</f>
        <v>0</v>
      </c>
      <c r="W39" s="20">
        <f>'伤害统计(理想)'!W39</f>
        <v>0</v>
      </c>
      <c r="X39" s="20">
        <f>'伤害统计(理想)'!X39</f>
        <v>0</v>
      </c>
      <c r="Y39" s="20">
        <f>'伤害统计(理想)'!Y39</f>
        <v>0</v>
      </c>
      <c r="Z39" s="20">
        <f>'伤害统计(理想)'!Z39</f>
        <v>0</v>
      </c>
      <c r="AA39" s="20">
        <f>'伤害统计(理想)'!AA39</f>
        <v>0</v>
      </c>
      <c r="AB39" s="20">
        <f>'伤害统计(理想)'!AB39</f>
        <v>0</v>
      </c>
      <c r="AC39" s="29"/>
    </row>
    <row r="40" spans="1:29">
      <c r="A40" s="20" t="str">
        <f>'伤害统计(理想)'!A40</f>
        <v>飞剑2</v>
      </c>
      <c r="B40" s="20">
        <f>'伤害统计(理想)'!B40</f>
        <v>99</v>
      </c>
      <c r="C40" s="20">
        <f>'伤害统计(理想)'!C40</f>
        <v>0</v>
      </c>
      <c r="D40" s="20">
        <f>'伤害统计(理想)'!D40</f>
        <v>5</v>
      </c>
      <c r="E40" s="20">
        <f>'伤害统计(理想)'!E40</f>
        <v>10</v>
      </c>
      <c r="F40" s="20">
        <f>'伤害统计(理想)'!F40</f>
        <v>2</v>
      </c>
      <c r="G40" s="20">
        <f>'伤害统计(理想)'!G40</f>
        <v>0</v>
      </c>
      <c r="H40" s="20">
        <f>'伤害统计(理想)'!H40</f>
        <v>2</v>
      </c>
      <c r="I40" s="20">
        <f>'伤害统计(理想)'!I40</f>
        <v>4</v>
      </c>
      <c r="J40" s="20">
        <f>'伤害统计(理想)'!J40</f>
        <v>0</v>
      </c>
      <c r="K40" s="20">
        <f>'伤害统计(理想)'!K40</f>
        <v>122</v>
      </c>
      <c r="L40" s="20">
        <f>'伤害统计(理想)'!L40</f>
        <v>0</v>
      </c>
      <c r="M40" s="20">
        <f>'伤害统计(理想)'!M40</f>
        <v>0</v>
      </c>
      <c r="N40" s="20">
        <f>'伤害统计(理想)'!N40</f>
        <v>1</v>
      </c>
      <c r="O40" s="20" t="str">
        <f>'伤害统计(理想)'!O40</f>
        <v>破</v>
      </c>
      <c r="P40" s="20">
        <f>'伤害统计(理想)'!P40</f>
        <v>91</v>
      </c>
      <c r="Q40" s="20">
        <f>'伤害统计(理想)'!Q40</f>
        <v>50882445</v>
      </c>
      <c r="R40" s="20">
        <f>'伤害统计(理想)'!R40</f>
        <v>0.235591999359747</v>
      </c>
      <c r="S40" s="20">
        <f>'伤害统计(理想)'!S40</f>
        <v>0</v>
      </c>
      <c r="T40" s="20">
        <f>'伤害统计(理想)'!T40</f>
        <v>0</v>
      </c>
      <c r="U40" s="20">
        <f>'伤害统计(理想)'!U40</f>
        <v>0</v>
      </c>
      <c r="V40" s="20">
        <f>'伤害统计(理想)'!V40</f>
        <v>0</v>
      </c>
      <c r="W40" s="20">
        <f>'伤害统计(理想)'!W40</f>
        <v>0</v>
      </c>
      <c r="X40" s="20">
        <f>'伤害统计(理想)'!X40</f>
        <v>0</v>
      </c>
      <c r="Y40" s="20">
        <f>'伤害统计(理想)'!Y40</f>
        <v>0</v>
      </c>
      <c r="Z40" s="20">
        <f>'伤害统计(理想)'!Z40</f>
        <v>0</v>
      </c>
      <c r="AA40" s="20">
        <f>'伤害统计(理想)'!AA40</f>
        <v>0</v>
      </c>
      <c r="AB40" s="20">
        <f>'伤害统计(理想)'!AB40</f>
        <v>0</v>
      </c>
      <c r="AC40" s="29"/>
    </row>
    <row r="41" spans="1:29">
      <c r="A41" s="20" t="str">
        <f>'伤害统计(理想)'!A41</f>
        <v>飞剑3</v>
      </c>
      <c r="B41" s="20">
        <f>'伤害统计(理想)'!B41</f>
        <v>99</v>
      </c>
      <c r="C41" s="20">
        <f>'伤害统计(理想)'!C41</f>
        <v>0</v>
      </c>
      <c r="D41" s="20">
        <f>'伤害统计(理想)'!D41</f>
        <v>5</v>
      </c>
      <c r="E41" s="20">
        <f>'伤害统计(理想)'!E41</f>
        <v>10</v>
      </c>
      <c r="F41" s="20">
        <f>'伤害统计(理想)'!F41</f>
        <v>2</v>
      </c>
      <c r="G41" s="20">
        <f>'伤害统计(理想)'!G41</f>
        <v>0</v>
      </c>
      <c r="H41" s="20">
        <f>'伤害统计(理想)'!H41</f>
        <v>2</v>
      </c>
      <c r="I41" s="20">
        <f>'伤害统计(理想)'!I41</f>
        <v>4</v>
      </c>
      <c r="J41" s="20">
        <f>'伤害统计(理想)'!J41</f>
        <v>0</v>
      </c>
      <c r="K41" s="20">
        <f>'伤害统计(理想)'!K41</f>
        <v>122</v>
      </c>
      <c r="L41" s="20">
        <f>'伤害统计(理想)'!L41</f>
        <v>0</v>
      </c>
      <c r="M41" s="20">
        <f>'伤害统计(理想)'!M41</f>
        <v>0</v>
      </c>
      <c r="N41" s="20">
        <f>'伤害统计(理想)'!N41</f>
        <v>2</v>
      </c>
      <c r="O41" s="20" t="str">
        <f>'伤害统计(理想)'!O41</f>
        <v>飞剑</v>
      </c>
      <c r="P41" s="20">
        <f>'伤害统计(理想)'!P41</f>
        <v>610</v>
      </c>
      <c r="Q41" s="20">
        <f>'伤害统计(理想)'!Q41</f>
        <v>67946513</v>
      </c>
      <c r="R41" s="20">
        <f>'伤害统计(理想)'!R41</f>
        <v>0.314600739944651</v>
      </c>
      <c r="S41" s="20">
        <f>'伤害统计(理想)'!S41</f>
        <v>0</v>
      </c>
      <c r="T41" s="20">
        <f>'伤害统计(理想)'!T41</f>
        <v>0</v>
      </c>
      <c r="U41" s="20">
        <f>'伤害统计(理想)'!U41</f>
        <v>0</v>
      </c>
      <c r="V41" s="20">
        <f>'伤害统计(理想)'!V41</f>
        <v>0</v>
      </c>
      <c r="W41" s="20">
        <f>'伤害统计(理想)'!W41</f>
        <v>0</v>
      </c>
      <c r="X41" s="20">
        <f>'伤害统计(理想)'!X41</f>
        <v>0</v>
      </c>
      <c r="Y41" s="20">
        <f>'伤害统计(理想)'!Y41</f>
        <v>0</v>
      </c>
      <c r="Z41" s="20">
        <f>'伤害统计(理想)'!Z41</f>
        <v>0</v>
      </c>
      <c r="AA41" s="20">
        <f>'伤害统计(理想)'!AA41</f>
        <v>0</v>
      </c>
      <c r="AB41" s="20">
        <f>'伤害统计(理想)'!AB41</f>
        <v>0</v>
      </c>
      <c r="AC41" s="29"/>
    </row>
    <row r="42" spans="1:29">
      <c r="A42" s="20" t="str">
        <f>'伤害统计(理想)'!A42</f>
        <v>飞剑4</v>
      </c>
      <c r="B42" s="20">
        <f>'伤害统计(理想)'!B42</f>
        <v>99</v>
      </c>
      <c r="C42" s="20">
        <f>'伤害统计(理想)'!C42</f>
        <v>0</v>
      </c>
      <c r="D42" s="20">
        <f>'伤害统计(理想)'!D42</f>
        <v>5</v>
      </c>
      <c r="E42" s="20">
        <f>'伤害统计(理想)'!E42</f>
        <v>10</v>
      </c>
      <c r="F42" s="20">
        <f>'伤害统计(理想)'!F42</f>
        <v>2</v>
      </c>
      <c r="G42" s="20">
        <f>'伤害统计(理想)'!G42</f>
        <v>0</v>
      </c>
      <c r="H42" s="20">
        <f>'伤害统计(理想)'!H42</f>
        <v>2</v>
      </c>
      <c r="I42" s="20">
        <f>'伤害统计(理想)'!I42</f>
        <v>4</v>
      </c>
      <c r="J42" s="20">
        <f>'伤害统计(理想)'!J42</f>
        <v>0</v>
      </c>
      <c r="K42" s="20">
        <f>'伤害统计(理想)'!K42</f>
        <v>122</v>
      </c>
      <c r="L42" s="20">
        <f>'伤害统计(理想)'!L42</f>
        <v>0</v>
      </c>
      <c r="M42" s="20">
        <f>'伤害统计(理想)'!M42</f>
        <v>0</v>
      </c>
      <c r="N42" s="20">
        <f>'伤害统计(理想)'!N42</f>
        <v>3</v>
      </c>
      <c r="O42" s="20" t="str">
        <f>'伤害统计(理想)'!O42</f>
        <v>两仪</v>
      </c>
      <c r="P42" s="20">
        <f>'伤害统计(理想)'!P42</f>
        <v>84</v>
      </c>
      <c r="Q42" s="20">
        <f>'伤害统计(理想)'!Q42</f>
        <v>28818379</v>
      </c>
      <c r="R42" s="20">
        <f>'伤害统计(理想)'!R42</f>
        <v>0.133432651023687</v>
      </c>
      <c r="S42" s="20">
        <f>'伤害统计(理想)'!S42</f>
        <v>0</v>
      </c>
      <c r="T42" s="20">
        <f>'伤害统计(理想)'!T42</f>
        <v>0</v>
      </c>
      <c r="U42" s="20">
        <f>'伤害统计(理想)'!U42</f>
        <v>0</v>
      </c>
      <c r="V42" s="20">
        <f>'伤害统计(理想)'!V42</f>
        <v>0</v>
      </c>
      <c r="W42" s="20">
        <f>'伤害统计(理想)'!W42</f>
        <v>0</v>
      </c>
      <c r="X42" s="20">
        <f>'伤害统计(理想)'!X42</f>
        <v>0</v>
      </c>
      <c r="Y42" s="20">
        <f>'伤害统计(理想)'!Y42</f>
        <v>0</v>
      </c>
      <c r="Z42" s="20">
        <f>'伤害统计(理想)'!Z42</f>
        <v>0</v>
      </c>
      <c r="AA42" s="20">
        <f>'伤害统计(理想)'!AA42</f>
        <v>0</v>
      </c>
      <c r="AB42" s="20">
        <f>'伤害统计(理想)'!AB42</f>
        <v>0</v>
      </c>
      <c r="AC42" s="29"/>
    </row>
    <row r="43" spans="1:29">
      <c r="A43" s="20" t="str">
        <f>'伤害统计(理想)'!A43</f>
        <v>飞剑5</v>
      </c>
      <c r="B43" s="20">
        <f>'伤害统计(理想)'!B43</f>
        <v>99</v>
      </c>
      <c r="C43" s="20">
        <f>'伤害统计(理想)'!C43</f>
        <v>0</v>
      </c>
      <c r="D43" s="20">
        <f>'伤害统计(理想)'!D43</f>
        <v>5</v>
      </c>
      <c r="E43" s="20">
        <f>'伤害统计(理想)'!E43</f>
        <v>10</v>
      </c>
      <c r="F43" s="20">
        <f>'伤害统计(理想)'!F43</f>
        <v>2</v>
      </c>
      <c r="G43" s="20">
        <f>'伤害统计(理想)'!G43</f>
        <v>0</v>
      </c>
      <c r="H43" s="20">
        <f>'伤害统计(理想)'!H43</f>
        <v>2</v>
      </c>
      <c r="I43" s="20">
        <f>'伤害统计(理想)'!I43</f>
        <v>4</v>
      </c>
      <c r="J43" s="20">
        <f>'伤害统计(理想)'!J43</f>
        <v>0</v>
      </c>
      <c r="K43" s="20">
        <f>'伤害统计(理想)'!K43</f>
        <v>122</v>
      </c>
      <c r="L43" s="20">
        <f>'伤害统计(理想)'!L43</f>
        <v>0</v>
      </c>
      <c r="M43" s="20">
        <f>'伤害统计(理想)'!M43</f>
        <v>0</v>
      </c>
      <c r="N43" s="20">
        <f>'伤害统计(理想)'!N43</f>
        <v>4</v>
      </c>
      <c r="O43" s="20" t="str">
        <f>'伤害统计(理想)'!O43</f>
        <v>颠越苍穹击</v>
      </c>
      <c r="P43" s="20">
        <f>'伤害统计(理想)'!P43</f>
        <v>168</v>
      </c>
      <c r="Q43" s="20">
        <f>'伤害统计(理想)'!Q43</f>
        <v>21612014</v>
      </c>
      <c r="R43" s="20">
        <f>'伤害统计(理想)'!R43</f>
        <v>0.100066291791812</v>
      </c>
      <c r="S43" s="20">
        <f>'伤害统计(理想)'!S43</f>
        <v>0</v>
      </c>
      <c r="T43" s="20">
        <f>'伤害统计(理想)'!T43</f>
        <v>0</v>
      </c>
      <c r="U43" s="20">
        <f>'伤害统计(理想)'!U43</f>
        <v>0</v>
      </c>
      <c r="V43" s="20">
        <f>'伤害统计(理想)'!V43</f>
        <v>0</v>
      </c>
      <c r="W43" s="20">
        <f>'伤害统计(理想)'!W43</f>
        <v>0</v>
      </c>
      <c r="X43" s="20">
        <f>'伤害统计(理想)'!X43</f>
        <v>0</v>
      </c>
      <c r="Y43" s="20">
        <f>'伤害统计(理想)'!Y43</f>
        <v>0</v>
      </c>
      <c r="Z43" s="20">
        <f>'伤害统计(理想)'!Z43</f>
        <v>0</v>
      </c>
      <c r="AA43" s="20">
        <f>'伤害统计(理想)'!AA43</f>
        <v>0</v>
      </c>
      <c r="AB43" s="20">
        <f>'伤害统计(理想)'!AB43</f>
        <v>0</v>
      </c>
      <c r="AC43" s="29"/>
    </row>
    <row r="44" spans="1:29">
      <c r="A44" s="20" t="str">
        <f>'伤害统计(理想)'!A44</f>
        <v>颠越苍穹击</v>
      </c>
      <c r="B44" s="20">
        <f>'伤害统计(理想)'!B44</f>
        <v>28</v>
      </c>
      <c r="C44" s="20">
        <f>'伤害统计(理想)'!C44</f>
        <v>0</v>
      </c>
      <c r="D44" s="20">
        <f>'伤害统计(理想)'!D44</f>
        <v>0</v>
      </c>
      <c r="E44" s="20">
        <f>'伤害统计(理想)'!E44</f>
        <v>100</v>
      </c>
      <c r="F44" s="20">
        <f>'伤害统计(理想)'!F44</f>
        <v>0</v>
      </c>
      <c r="G44" s="20">
        <f>'伤害统计(理想)'!G44</f>
        <v>0</v>
      </c>
      <c r="H44" s="20">
        <f>'伤害统计(理想)'!H44</f>
        <v>0</v>
      </c>
      <c r="I44" s="20">
        <f>'伤害统计(理想)'!I44</f>
        <v>40</v>
      </c>
      <c r="J44" s="20">
        <f>'伤害统计(理想)'!J44</f>
        <v>0</v>
      </c>
      <c r="K44" s="20">
        <f>'伤害统计(理想)'!K44</f>
        <v>168</v>
      </c>
      <c r="L44" s="20">
        <f>'伤害统计(理想)'!L44</f>
        <v>168</v>
      </c>
      <c r="M44" s="20">
        <f>'伤害统计(理想)'!M44</f>
        <v>168</v>
      </c>
      <c r="N44" s="20">
        <f>'伤害统计(理想)'!N44</f>
        <v>5</v>
      </c>
      <c r="O44" s="20" t="str">
        <f>'伤害统计(理想)'!O44</f>
        <v>六合</v>
      </c>
      <c r="P44" s="20">
        <f>'伤害统计(理想)'!P44</f>
        <v>93</v>
      </c>
      <c r="Q44" s="20">
        <f>'伤害统计(理想)'!Q44</f>
        <v>13289482</v>
      </c>
      <c r="R44" s="20">
        <f>'伤害统计(理想)'!R44</f>
        <v>0.0615319416123844</v>
      </c>
      <c r="S44" s="20">
        <f>'伤害统计(理想)'!S44</f>
        <v>0</v>
      </c>
      <c r="T44" s="20">
        <f>'伤害统计(理想)'!T44</f>
        <v>0</v>
      </c>
      <c r="U44" s="20">
        <f>'伤害统计(理想)'!U44</f>
        <v>0</v>
      </c>
      <c r="V44" s="20">
        <f>'伤害统计(理想)'!V44</f>
        <v>0</v>
      </c>
      <c r="W44" s="20">
        <f>'伤害统计(理想)'!W44</f>
        <v>0</v>
      </c>
      <c r="X44" s="20">
        <f>'伤害统计(理想)'!X44</f>
        <v>0</v>
      </c>
      <c r="Y44" s="20">
        <f>'伤害统计(理想)'!Y44</f>
        <v>0</v>
      </c>
      <c r="Z44" s="20">
        <f>'伤害统计(理想)'!Z44</f>
        <v>0</v>
      </c>
      <c r="AA44" s="20">
        <f>'伤害统计(理想)'!AA44</f>
        <v>0</v>
      </c>
      <c r="AB44" s="20">
        <f>'伤害统计(理想)'!AB44</f>
        <v>0</v>
      </c>
      <c r="AC44" s="29"/>
    </row>
    <row r="45" spans="1:29">
      <c r="A45" s="20" t="str">
        <f>'伤害统计(理想)'!A45</f>
        <v>五方行尽</v>
      </c>
      <c r="B45" s="20">
        <f>'伤害统计(理想)'!B45</f>
        <v>7</v>
      </c>
      <c r="C45" s="20">
        <f>'伤害统计(理想)'!C45</f>
        <v>0</v>
      </c>
      <c r="D45" s="20">
        <f>'伤害统计(理想)'!D45</f>
        <v>0</v>
      </c>
      <c r="E45" s="20">
        <f>'伤害统计(理想)'!E45</f>
        <v>0</v>
      </c>
      <c r="F45" s="20">
        <f>'伤害统计(理想)'!F45</f>
        <v>0</v>
      </c>
      <c r="G45" s="20">
        <f>'伤害统计(理想)'!G45</f>
        <v>0</v>
      </c>
      <c r="H45" s="20">
        <f>'伤害统计(理想)'!H45</f>
        <v>0</v>
      </c>
      <c r="I45" s="20">
        <f>'伤害统计(理想)'!I45</f>
        <v>0</v>
      </c>
      <c r="J45" s="20">
        <f>'伤害统计(理想)'!J45</f>
        <v>0</v>
      </c>
      <c r="K45" s="20">
        <f>'伤害统计(理想)'!K45</f>
        <v>7</v>
      </c>
      <c r="L45" s="20">
        <f>'伤害统计(理想)'!L45</f>
        <v>7</v>
      </c>
      <c r="M45" s="20">
        <f>'伤害统计(理想)'!M45</f>
        <v>0</v>
      </c>
      <c r="N45" s="20">
        <f>'伤害统计(理想)'!N45</f>
        <v>6</v>
      </c>
      <c r="O45" s="20" t="str">
        <f>'伤害统计(理想)'!O45</f>
        <v>四象</v>
      </c>
      <c r="P45" s="20">
        <f>'伤害统计(理想)'!P45</f>
        <v>65</v>
      </c>
      <c r="Q45" s="20">
        <f>'伤害统计(理想)'!Q45</f>
        <v>26849390</v>
      </c>
      <c r="R45" s="20">
        <f>'伤害统计(理想)'!R45</f>
        <v>0.124315988975954</v>
      </c>
      <c r="S45" s="20">
        <f>'伤害统计(理想)'!S45</f>
        <v>0</v>
      </c>
      <c r="T45" s="20">
        <f>'伤害统计(理想)'!T45</f>
        <v>0</v>
      </c>
      <c r="U45" s="20">
        <f>'伤害统计(理想)'!U45</f>
        <v>0</v>
      </c>
      <c r="V45" s="20">
        <f>'伤害统计(理想)'!V45</f>
        <v>0</v>
      </c>
      <c r="W45" s="20">
        <f>'伤害统计(理想)'!W45</f>
        <v>0</v>
      </c>
      <c r="X45" s="20">
        <f>'伤害统计(理想)'!X45</f>
        <v>0</v>
      </c>
      <c r="Y45" s="20">
        <f>'伤害统计(理想)'!Y45</f>
        <v>0</v>
      </c>
      <c r="Z45" s="20">
        <f>'伤害统计(理想)'!Z45</f>
        <v>0</v>
      </c>
      <c r="AA45" s="20">
        <f>'伤害统计(理想)'!AA45</f>
        <v>0</v>
      </c>
      <c r="AB45" s="20">
        <f>'伤害统计(理想)'!AB45</f>
        <v>0</v>
      </c>
      <c r="AC45" s="29"/>
    </row>
    <row r="46" spans="1:29">
      <c r="A46" s="20" t="str">
        <f>'伤害统计(理想)'!A46</f>
        <v>四象轮回</v>
      </c>
      <c r="B46" s="20">
        <f>'伤害统计(理想)'!B46</f>
        <v>42</v>
      </c>
      <c r="C46" s="20">
        <f>'伤害统计(理想)'!C46</f>
        <v>0</v>
      </c>
      <c r="D46" s="20">
        <f>'伤害统计(理想)'!D46</f>
        <v>5</v>
      </c>
      <c r="E46" s="20">
        <f>'伤害统计(理想)'!E46</f>
        <v>10</v>
      </c>
      <c r="F46" s="20">
        <f>'伤害统计(理想)'!F46</f>
        <v>2</v>
      </c>
      <c r="G46" s="20">
        <f>'伤害统计(理想)'!G46</f>
        <v>0</v>
      </c>
      <c r="H46" s="20">
        <f>'伤害统计(理想)'!H46</f>
        <v>2</v>
      </c>
      <c r="I46" s="20">
        <f>'伤害统计(理想)'!I46</f>
        <v>4</v>
      </c>
      <c r="J46" s="20">
        <f>'伤害统计(理想)'!J46</f>
        <v>0</v>
      </c>
      <c r="K46" s="20">
        <f>'伤害统计(理想)'!K46</f>
        <v>65</v>
      </c>
      <c r="L46" s="20">
        <f>'伤害统计(理想)'!L46</f>
        <v>65</v>
      </c>
      <c r="M46" s="20">
        <f>'伤害统计(理想)'!M46</f>
        <v>0</v>
      </c>
      <c r="N46" s="20">
        <f>'伤害统计(理想)'!N46</f>
        <v>7</v>
      </c>
      <c r="O46" s="20" t="str">
        <f>'伤害统计(理想)'!O46</f>
        <v>万世不竭</v>
      </c>
      <c r="P46" s="20">
        <f>'伤害统计(理想)'!P46</f>
        <v>7</v>
      </c>
      <c r="Q46" s="20">
        <f>'伤害统计(理想)'!Q46</f>
        <v>4554092</v>
      </c>
      <c r="R46" s="20">
        <f>'伤害统计(理想)'!R46</f>
        <v>0.0210860079453381</v>
      </c>
      <c r="S46" s="20">
        <f>'伤害统计(理想)'!S46</f>
        <v>0</v>
      </c>
      <c r="T46" s="20">
        <f>'伤害统计(理想)'!T46</f>
        <v>0</v>
      </c>
      <c r="U46" s="20">
        <f>'伤害统计(理想)'!U46</f>
        <v>0</v>
      </c>
      <c r="V46" s="20">
        <f>'伤害统计(理想)'!V46</f>
        <v>0</v>
      </c>
      <c r="W46" s="20">
        <f>'伤害统计(理想)'!W46</f>
        <v>0</v>
      </c>
      <c r="X46" s="20">
        <f>'伤害统计(理想)'!X46</f>
        <v>0</v>
      </c>
      <c r="Y46" s="20">
        <f>'伤害统计(理想)'!Y46</f>
        <v>0</v>
      </c>
      <c r="Z46" s="20">
        <f>'伤害统计(理想)'!Z46</f>
        <v>0</v>
      </c>
      <c r="AA46" s="20">
        <f>'伤害统计(理想)'!AA46</f>
        <v>0</v>
      </c>
      <c r="AB46" s="20">
        <f>'伤害统计(理想)'!AB46</f>
        <v>0</v>
      </c>
      <c r="AC46" s="32"/>
    </row>
    <row r="47" spans="1:29">
      <c r="A47" s="20" t="str">
        <f>'伤害统计(理想)'!A47</f>
        <v>两仪化形(5)</v>
      </c>
      <c r="B47" s="20">
        <f>'伤害统计(理想)'!B47</f>
        <v>42</v>
      </c>
      <c r="C47" s="20">
        <f>'伤害统计(理想)'!C47</f>
        <v>0</v>
      </c>
      <c r="D47" s="20">
        <f>'伤害统计(理想)'!D47</f>
        <v>5</v>
      </c>
      <c r="E47" s="20">
        <f>'伤害统计(理想)'!E47</f>
        <v>15</v>
      </c>
      <c r="F47" s="20">
        <f>'伤害统计(理想)'!F47</f>
        <v>2</v>
      </c>
      <c r="G47" s="20">
        <f>'伤害统计(理想)'!G47</f>
        <v>0</v>
      </c>
      <c r="H47" s="20">
        <f>'伤害统计(理想)'!H47</f>
        <v>2</v>
      </c>
      <c r="I47" s="20">
        <f>'伤害统计(理想)'!I47</f>
        <v>6</v>
      </c>
      <c r="J47" s="20">
        <f>'伤害统计(理想)'!J47</f>
        <v>0</v>
      </c>
      <c r="K47" s="20">
        <f>'伤害统计(理想)'!K47</f>
        <v>72</v>
      </c>
      <c r="L47" s="20">
        <f>'伤害统计(理想)'!L47</f>
        <v>84</v>
      </c>
      <c r="M47" s="20">
        <f>'伤害统计(理想)'!M47</f>
        <v>30</v>
      </c>
      <c r="N47" s="20">
        <f>'伤害统计(理想)'!N47</f>
        <v>8</v>
      </c>
      <c r="O47" s="20" t="str">
        <f>'伤害统计(理想)'!O47</f>
        <v>空啸太玄剑</v>
      </c>
      <c r="P47" s="20">
        <f>'伤害统计(理想)'!P47</f>
        <v>0</v>
      </c>
      <c r="Q47" s="20">
        <f>'伤害统计(理想)'!Q47</f>
        <v>0</v>
      </c>
      <c r="R47" s="20">
        <f>'伤害统计(理想)'!R47</f>
        <v>0</v>
      </c>
      <c r="S47" s="20">
        <f>'伤害统计(理想)'!S47</f>
        <v>0</v>
      </c>
      <c r="T47" s="20">
        <f>'伤害统计(理想)'!T47</f>
        <v>0</v>
      </c>
      <c r="U47" s="20">
        <f>'伤害统计(理想)'!U47</f>
        <v>0</v>
      </c>
      <c r="V47" s="20">
        <f>'伤害统计(理想)'!V47</f>
        <v>0</v>
      </c>
      <c r="W47" s="20">
        <f>'伤害统计(理想)'!W47</f>
        <v>0</v>
      </c>
      <c r="X47" s="20">
        <f>'伤害统计(理想)'!X47</f>
        <v>0</v>
      </c>
      <c r="Y47" s="20">
        <f>'伤害统计(理想)'!Y47</f>
        <v>0</v>
      </c>
      <c r="Z47" s="20">
        <f>'伤害统计(理想)'!Z47</f>
        <v>0</v>
      </c>
      <c r="AA47" s="20">
        <f>'伤害统计(理想)'!AA47</f>
        <v>0</v>
      </c>
      <c r="AB47" s="20">
        <f>'伤害统计(理想)'!AB47</f>
        <v>0</v>
      </c>
      <c r="AC47" s="29"/>
    </row>
    <row r="48" spans="1:29">
      <c r="A48" s="20" t="str">
        <f>'伤害统计(理想)'!A48</f>
        <v>两仪化形(4</v>
      </c>
      <c r="B48" s="20">
        <f>'伤害统计(理想)'!B48</f>
        <v>12</v>
      </c>
      <c r="C48" s="20">
        <f>'伤害统计(理想)'!C48</f>
        <v>0</v>
      </c>
      <c r="D48" s="20">
        <f>'伤害统计(理想)'!D48</f>
        <v>0</v>
      </c>
      <c r="E48" s="20">
        <f>'伤害统计(理想)'!E48</f>
        <v>0</v>
      </c>
      <c r="F48" s="20">
        <f>'伤害统计(理想)'!F48</f>
        <v>0</v>
      </c>
      <c r="G48" s="20">
        <f>'伤害统计(理想)'!G48</f>
        <v>0</v>
      </c>
      <c r="H48" s="20">
        <f>'伤害统计(理想)'!H48</f>
        <v>0</v>
      </c>
      <c r="I48" s="20">
        <f>'伤害统计(理想)'!I48</f>
        <v>0</v>
      </c>
      <c r="J48" s="20">
        <f>'伤害统计(理想)'!J48</f>
        <v>0</v>
      </c>
      <c r="K48" s="20">
        <f>'伤害统计(理想)'!K48</f>
        <v>12</v>
      </c>
      <c r="L48" s="20">
        <f>'伤害统计(理想)'!L48</f>
        <v>0</v>
      </c>
      <c r="M48" s="20">
        <f>'伤害统计(理想)'!M48</f>
        <v>0</v>
      </c>
      <c r="N48" s="20">
        <f>'伤害统计(理想)'!N48</f>
        <v>9</v>
      </c>
      <c r="O48" s="20" t="str">
        <f>'伤害统计(理想)'!O48</f>
        <v>白鹤舒翅</v>
      </c>
      <c r="P48" s="20">
        <f>'伤害统计(理想)'!P48</f>
        <v>0</v>
      </c>
      <c r="Q48" s="20">
        <f>'伤害统计(理想)'!Q48</f>
        <v>0</v>
      </c>
      <c r="R48" s="20">
        <f>'伤害统计(理想)'!R48</f>
        <v>0</v>
      </c>
      <c r="S48" s="20">
        <f>'伤害统计(理想)'!S48</f>
        <v>0</v>
      </c>
      <c r="T48" s="20">
        <f>'伤害统计(理想)'!T48</f>
        <v>0</v>
      </c>
      <c r="U48" s="20">
        <f>'伤害统计(理想)'!U48</f>
        <v>0</v>
      </c>
      <c r="V48" s="20">
        <f>'伤害统计(理想)'!V48</f>
        <v>0</v>
      </c>
      <c r="W48" s="20">
        <f>'伤害统计(理想)'!W48</f>
        <v>0</v>
      </c>
      <c r="X48" s="20">
        <f>'伤害统计(理想)'!X48</f>
        <v>0</v>
      </c>
      <c r="Y48" s="20">
        <f>'伤害统计(理想)'!Y48</f>
        <v>0</v>
      </c>
      <c r="Z48" s="20">
        <f>'伤害统计(理想)'!Z48</f>
        <v>0</v>
      </c>
      <c r="AA48" s="20">
        <f>'伤害统计(理想)'!AA48</f>
        <v>0</v>
      </c>
      <c r="AB48" s="20">
        <f>'伤害统计(理想)'!AB48</f>
        <v>0</v>
      </c>
      <c r="AC48" s="29"/>
    </row>
    <row r="49" ht="17.25" spans="1:39">
      <c r="A49" s="20" t="str">
        <f>'伤害统计(理想)'!A49</f>
        <v>两仪化形(3.5</v>
      </c>
      <c r="B49" s="20">
        <f>'伤害统计(理想)'!B49</f>
        <v>0</v>
      </c>
      <c r="C49" s="20">
        <f>'伤害统计(理想)'!C49</f>
        <v>0</v>
      </c>
      <c r="D49" s="20">
        <f>'伤害统计(理想)'!D49</f>
        <v>0</v>
      </c>
      <c r="E49" s="20">
        <f>'伤害统计(理想)'!E49</f>
        <v>0</v>
      </c>
      <c r="F49" s="20">
        <f>'伤害统计(理想)'!F49</f>
        <v>0</v>
      </c>
      <c r="G49" s="20">
        <f>'伤害统计(理想)'!G49</f>
        <v>0</v>
      </c>
      <c r="H49" s="20">
        <f>'伤害统计(理想)'!H49</f>
        <v>0</v>
      </c>
      <c r="I49" s="20">
        <f>'伤害统计(理想)'!I49</f>
        <v>0</v>
      </c>
      <c r="J49" s="20">
        <f>'伤害统计(理想)'!J49</f>
        <v>0</v>
      </c>
      <c r="K49" s="20">
        <f>'伤害统计(理想)'!K49</f>
        <v>0</v>
      </c>
      <c r="L49" s="20">
        <f>'伤害统计(理想)'!L49</f>
        <v>0</v>
      </c>
      <c r="M49" s="20">
        <f>'伤害统计(理想)'!M49</f>
        <v>0</v>
      </c>
      <c r="N49" s="20">
        <f>'伤害统计(理想)'!N49</f>
        <v>10</v>
      </c>
      <c r="O49" s="20" t="str">
        <f>'伤害统计(理想)'!O49</f>
        <v>厚亡</v>
      </c>
      <c r="P49" s="20">
        <f>'伤害统计(理想)'!P49</f>
        <v>0</v>
      </c>
      <c r="Q49" s="20">
        <f>'伤害统计(理想)'!Q49</f>
        <v>0</v>
      </c>
      <c r="R49" s="20">
        <f>'伤害统计(理想)'!R49</f>
        <v>0</v>
      </c>
      <c r="S49" s="20">
        <f>'伤害统计(理想)'!S49</f>
        <v>0</v>
      </c>
      <c r="T49" s="20">
        <f>'伤害统计(理想)'!T49</f>
        <v>0</v>
      </c>
      <c r="U49" s="20">
        <f>'伤害统计(理想)'!U49</f>
        <v>0</v>
      </c>
      <c r="V49" s="20">
        <f>'伤害统计(理想)'!V49</f>
        <v>0</v>
      </c>
      <c r="W49" s="20">
        <f>'伤害统计(理想)'!W49</f>
        <v>0</v>
      </c>
      <c r="X49" s="20">
        <f>'伤害统计(理想)'!X49</f>
        <v>0</v>
      </c>
      <c r="Y49" s="20">
        <f>'伤害统计(理想)'!Y49</f>
        <v>0</v>
      </c>
      <c r="Z49" s="20">
        <f>'伤害统计(理想)'!Z49</f>
        <v>0</v>
      </c>
      <c r="AA49" s="20">
        <f>'伤害统计(理想)'!AA49</f>
        <v>0</v>
      </c>
      <c r="AB49" s="20">
        <f>'伤害统计(理想)'!AB49</f>
        <v>0</v>
      </c>
      <c r="AC49" s="29"/>
      <c r="AE49" s="33"/>
      <c r="AF49" s="33"/>
      <c r="AG49" s="33"/>
      <c r="AH49" s="34"/>
      <c r="AI49" s="34"/>
      <c r="AJ49" s="34"/>
      <c r="AK49" s="34"/>
      <c r="AL49" s="34"/>
      <c r="AM49" s="34"/>
    </row>
    <row r="50" spans="1:29">
      <c r="A50" s="20" t="str">
        <f>'伤害统计(理想)'!A50</f>
        <v>六合1</v>
      </c>
      <c r="B50" s="20">
        <f>'伤害统计(理想)'!B50</f>
        <v>13</v>
      </c>
      <c r="C50" s="20">
        <f>'伤害统计(理想)'!C50</f>
        <v>0</v>
      </c>
      <c r="D50" s="20">
        <f>'伤害统计(理想)'!D50</f>
        <v>0</v>
      </c>
      <c r="E50" s="20">
        <f>'伤害统计(理想)'!E50</f>
        <v>0</v>
      </c>
      <c r="F50" s="20">
        <f>'伤害统计(理想)'!F50</f>
        <v>0</v>
      </c>
      <c r="G50" s="20">
        <f>'伤害统计(理想)'!G50</f>
        <v>0</v>
      </c>
      <c r="H50" s="20">
        <f>'伤害统计(理想)'!H50</f>
        <v>0</v>
      </c>
      <c r="I50" s="20">
        <f>'伤害统计(理想)'!I50</f>
        <v>0</v>
      </c>
      <c r="J50" s="20">
        <f>'伤害统计(理想)'!J50</f>
        <v>28</v>
      </c>
      <c r="K50" s="20">
        <f>'伤害统计(理想)'!K50</f>
        <v>41</v>
      </c>
      <c r="L50" s="20">
        <f>'伤害统计(理想)'!L50</f>
        <v>93</v>
      </c>
      <c r="M50" s="20">
        <f>'伤害统计(理想)'!M50</f>
        <v>65</v>
      </c>
      <c r="N50" s="20">
        <f>'伤害统计(理想)'!N50</f>
        <v>11</v>
      </c>
      <c r="O50" s="20" t="str">
        <f>'伤害统计(理想)'!O50</f>
        <v>昆吾·弦刃</v>
      </c>
      <c r="P50" s="20">
        <f>'伤害统计(理想)'!P50</f>
        <v>16</v>
      </c>
      <c r="Q50" s="20">
        <f>'伤害统计(理想)'!Q50</f>
        <v>810667</v>
      </c>
      <c r="R50" s="20">
        <f>'伤害统计(理想)'!R50</f>
        <v>0.00375348824815646</v>
      </c>
      <c r="S50" s="20">
        <f>'伤害统计(理想)'!S50</f>
        <v>0</v>
      </c>
      <c r="T50" s="20">
        <f>'伤害统计(理想)'!T50</f>
        <v>0</v>
      </c>
      <c r="U50" s="20">
        <f>'伤害统计(理想)'!U50</f>
        <v>0</v>
      </c>
      <c r="V50" s="20">
        <f>'伤害统计(理想)'!V50</f>
        <v>0</v>
      </c>
      <c r="W50" s="20">
        <f>'伤害统计(理想)'!W50</f>
        <v>0</v>
      </c>
      <c r="X50" s="20">
        <f>'伤害统计(理想)'!X50</f>
        <v>0</v>
      </c>
      <c r="Y50" s="20">
        <f>'伤害统计(理想)'!Y50</f>
        <v>0</v>
      </c>
      <c r="Z50" s="20">
        <f>'伤害统计(理想)'!Z50</f>
        <v>0</v>
      </c>
      <c r="AA50" s="20">
        <f>'伤害统计(理想)'!AA50</f>
        <v>0</v>
      </c>
      <c r="AB50" s="20">
        <f>'伤害统计(理想)'!AB50</f>
        <v>0</v>
      </c>
      <c r="AC50" s="29"/>
    </row>
    <row r="51" spans="1:31">
      <c r="A51" s="20" t="str">
        <f>'伤害统计(理想)'!A51</f>
        <v>六合2</v>
      </c>
      <c r="B51" s="20">
        <f>'伤害统计(理想)'!B51</f>
        <v>6</v>
      </c>
      <c r="C51" s="20">
        <f>'伤害统计(理想)'!C51</f>
        <v>0</v>
      </c>
      <c r="D51" s="20">
        <f>'伤害统计(理想)'!D51</f>
        <v>0</v>
      </c>
      <c r="E51" s="20">
        <f>'伤害统计(理想)'!E51</f>
        <v>5</v>
      </c>
      <c r="F51" s="20">
        <f>'伤害统计(理想)'!F51</f>
        <v>0</v>
      </c>
      <c r="G51" s="20">
        <f>'伤害统计(理想)'!G51</f>
        <v>0</v>
      </c>
      <c r="H51" s="20">
        <f>'伤害统计(理想)'!H51</f>
        <v>0</v>
      </c>
      <c r="I51" s="20">
        <f>'伤害统计(理想)'!I51</f>
        <v>2</v>
      </c>
      <c r="J51" s="20">
        <f>'伤害统计(理想)'!J51</f>
        <v>0</v>
      </c>
      <c r="K51" s="20">
        <f>'伤害统计(理想)'!K51</f>
        <v>13</v>
      </c>
      <c r="L51" s="20">
        <f>'伤害统计(理想)'!L51</f>
        <v>0</v>
      </c>
      <c r="M51" s="20">
        <f>'伤害统计(理想)'!M51</f>
        <v>0</v>
      </c>
      <c r="N51" s="20">
        <f>'伤害统计(理想)'!N51</f>
        <v>12</v>
      </c>
      <c r="O51" s="20" t="str">
        <f>'伤害统计(理想)'!O51</f>
        <v>空啸太玄剑·定</v>
      </c>
      <c r="P51" s="20">
        <f>'伤害统计(理想)'!P51</f>
        <v>0</v>
      </c>
      <c r="Q51" s="20">
        <f>'伤害统计(理想)'!Q51</f>
        <v>0</v>
      </c>
      <c r="R51" s="20">
        <f>'伤害统计(理想)'!R51</f>
        <v>0</v>
      </c>
      <c r="S51" s="20">
        <f>'伤害统计(理想)'!S51</f>
        <v>0</v>
      </c>
      <c r="T51" s="20">
        <f>'伤害统计(理想)'!T51</f>
        <v>0</v>
      </c>
      <c r="U51" s="20">
        <f>'伤害统计(理想)'!U51</f>
        <v>0</v>
      </c>
      <c r="V51" s="20">
        <f>'伤害统计(理想)'!V51</f>
        <v>0</v>
      </c>
      <c r="W51" s="20">
        <f>'伤害统计(理想)'!W51</f>
        <v>0</v>
      </c>
      <c r="X51" s="20">
        <f>'伤害统计(理想)'!X51</f>
        <v>0</v>
      </c>
      <c r="Y51" s="20">
        <f>'伤害统计(理想)'!Y51</f>
        <v>0</v>
      </c>
      <c r="Z51" s="20">
        <f>'伤害统计(理想)'!Z51</f>
        <v>0</v>
      </c>
      <c r="AA51" s="20">
        <f>'伤害统计(理想)'!AA51</f>
        <v>0</v>
      </c>
      <c r="AB51" s="20">
        <f>'伤害统计(理想)'!AB51</f>
        <v>0</v>
      </c>
      <c r="AC51" s="29"/>
      <c r="AE51" s="33"/>
    </row>
    <row r="52" spans="1:29">
      <c r="A52" s="20" t="str">
        <f>'伤害统计(理想)'!A52</f>
        <v>六合3</v>
      </c>
      <c r="B52" s="20">
        <f>'伤害统计(理想)'!B52</f>
        <v>6</v>
      </c>
      <c r="C52" s="20">
        <f>'伤害统计(理想)'!C52</f>
        <v>0</v>
      </c>
      <c r="D52" s="20">
        <f>'伤害统计(理想)'!D52</f>
        <v>0</v>
      </c>
      <c r="E52" s="20">
        <f>'伤害统计(理想)'!E52</f>
        <v>5</v>
      </c>
      <c r="F52" s="20">
        <f>'伤害统计(理想)'!F52</f>
        <v>0</v>
      </c>
      <c r="G52" s="20">
        <f>'伤害统计(理想)'!G52</f>
        <v>0</v>
      </c>
      <c r="H52" s="20">
        <f>'伤害统计(理想)'!H52</f>
        <v>0</v>
      </c>
      <c r="I52" s="20">
        <f>'伤害统计(理想)'!I52</f>
        <v>2</v>
      </c>
      <c r="J52" s="20">
        <f>'伤害统计(理想)'!J52</f>
        <v>0</v>
      </c>
      <c r="K52" s="20">
        <f>'伤害统计(理想)'!K52</f>
        <v>13</v>
      </c>
      <c r="L52" s="20">
        <f>'伤害统计(理想)'!L52</f>
        <v>0</v>
      </c>
      <c r="M52" s="20">
        <f>'伤害统计(理想)'!M52</f>
        <v>0</v>
      </c>
      <c r="N52" s="20">
        <f>'伤害统计(理想)'!N52</f>
        <v>13</v>
      </c>
      <c r="O52" s="20" t="str">
        <f>'伤害统计(理想)'!O52</f>
        <v>刃凌</v>
      </c>
      <c r="P52" s="20">
        <f>'伤害统计(理想)'!P52</f>
        <v>23</v>
      </c>
      <c r="Q52" s="20">
        <f>'伤害统计(理想)'!Q52</f>
        <v>732384</v>
      </c>
      <c r="R52" s="20">
        <f>'伤害统计(理想)'!R52</f>
        <v>0.00339102829785575</v>
      </c>
      <c r="S52" s="20">
        <f>'伤害统计(理想)'!S52</f>
        <v>0</v>
      </c>
      <c r="T52" s="20">
        <f>'伤害统计(理想)'!T52</f>
        <v>0</v>
      </c>
      <c r="U52" s="20">
        <f>'伤害统计(理想)'!U52</f>
        <v>0</v>
      </c>
      <c r="V52" s="20">
        <f>'伤害统计(理想)'!V52</f>
        <v>0</v>
      </c>
      <c r="W52" s="20">
        <f>'伤害统计(理想)'!W52</f>
        <v>0</v>
      </c>
      <c r="X52" s="20">
        <f>'伤害统计(理想)'!X52</f>
        <v>0</v>
      </c>
      <c r="Y52" s="20">
        <f>'伤害统计(理想)'!Y52</f>
        <v>0</v>
      </c>
      <c r="Z52" s="20">
        <f>'伤害统计(理想)'!Z52</f>
        <v>0</v>
      </c>
      <c r="AA52" s="20">
        <f>'伤害统计(理想)'!AA52</f>
        <v>0</v>
      </c>
      <c r="AB52" s="20">
        <f>'伤害统计(理想)'!AB52</f>
        <v>0</v>
      </c>
      <c r="AC52" s="29"/>
    </row>
    <row r="53" spans="1:31">
      <c r="A53" s="20" t="str">
        <f>'伤害统计(理想)'!A53</f>
        <v>六合4</v>
      </c>
      <c r="B53" s="20">
        <f>'伤害统计(理想)'!B53</f>
        <v>6</v>
      </c>
      <c r="C53" s="20">
        <f>'伤害统计(理想)'!C53</f>
        <v>0</v>
      </c>
      <c r="D53" s="20">
        <f>'伤害统计(理想)'!D53</f>
        <v>0</v>
      </c>
      <c r="E53" s="20">
        <f>'伤害统计(理想)'!E53</f>
        <v>5</v>
      </c>
      <c r="F53" s="20">
        <f>'伤害统计(理想)'!F53</f>
        <v>0</v>
      </c>
      <c r="G53" s="20">
        <f>'伤害统计(理想)'!G53</f>
        <v>0</v>
      </c>
      <c r="H53" s="20">
        <f>'伤害统计(理想)'!H53</f>
        <v>0</v>
      </c>
      <c r="I53" s="20">
        <f>'伤害统计(理想)'!I53</f>
        <v>2</v>
      </c>
      <c r="J53" s="20">
        <f>'伤害统计(理想)'!J53</f>
        <v>0</v>
      </c>
      <c r="K53" s="20">
        <f>'伤害统计(理想)'!K53</f>
        <v>13</v>
      </c>
      <c r="L53" s="20">
        <f>'伤害统计(理想)'!L53</f>
        <v>0</v>
      </c>
      <c r="M53" s="20">
        <f>'伤害统计(理想)'!M53</f>
        <v>0</v>
      </c>
      <c r="N53" s="20">
        <f>'伤害统计(理想)'!N53</f>
        <v>14</v>
      </c>
      <c r="O53" s="20" t="str">
        <f>'伤害统计(理想)'!O53</f>
        <v>五方行尽</v>
      </c>
      <c r="P53" s="20">
        <f>'伤害统计(理想)'!P53</f>
        <v>7</v>
      </c>
      <c r="Q53" s="20">
        <f>'伤害统计(理想)'!Q53</f>
        <v>370682</v>
      </c>
      <c r="R53" s="20">
        <f>'伤害统计(理想)'!R53</f>
        <v>0.00171630340300411</v>
      </c>
      <c r="S53" s="20">
        <f>'伤害统计(理想)'!S53</f>
        <v>0</v>
      </c>
      <c r="T53" s="20">
        <f>'伤害统计(理想)'!T53</f>
        <v>0</v>
      </c>
      <c r="U53" s="20">
        <f>'伤害统计(理想)'!U53</f>
        <v>0</v>
      </c>
      <c r="V53" s="20">
        <f>'伤害统计(理想)'!V53</f>
        <v>0</v>
      </c>
      <c r="W53" s="20">
        <f>'伤害统计(理想)'!W53</f>
        <v>0</v>
      </c>
      <c r="X53" s="20">
        <f>'伤害统计(理想)'!X53</f>
        <v>0</v>
      </c>
      <c r="Y53" s="20">
        <f>'伤害统计(理想)'!Y53</f>
        <v>0</v>
      </c>
      <c r="Z53" s="20">
        <f>'伤害统计(理想)'!Z53</f>
        <v>0</v>
      </c>
      <c r="AA53" s="20">
        <f>'伤害统计(理想)'!AA53</f>
        <v>0</v>
      </c>
      <c r="AB53" s="20">
        <f>'伤害统计(理想)'!AB53</f>
        <v>0</v>
      </c>
      <c r="AC53" s="29"/>
      <c r="AE53" s="33"/>
    </row>
    <row r="54" spans="1:29">
      <c r="A54" s="20" t="str">
        <f>'伤害统计(理想)'!A54</f>
        <v>六合5</v>
      </c>
      <c r="B54" s="20">
        <f>'伤害统计(理想)'!B54</f>
        <v>6</v>
      </c>
      <c r="C54" s="20">
        <f>'伤害统计(理想)'!C54</f>
        <v>0</v>
      </c>
      <c r="D54" s="20">
        <f>'伤害统计(理想)'!D54</f>
        <v>0</v>
      </c>
      <c r="E54" s="20">
        <f>'伤害统计(理想)'!E54</f>
        <v>5</v>
      </c>
      <c r="F54" s="20">
        <f>'伤害统计(理想)'!F54</f>
        <v>0</v>
      </c>
      <c r="G54" s="20">
        <f>'伤害统计(理想)'!G54</f>
        <v>0</v>
      </c>
      <c r="H54" s="20">
        <f>'伤害统计(理想)'!H54</f>
        <v>0</v>
      </c>
      <c r="I54" s="20">
        <f>'伤害统计(理想)'!I54</f>
        <v>2</v>
      </c>
      <c r="J54" s="20">
        <f>'伤害统计(理想)'!J54</f>
        <v>0</v>
      </c>
      <c r="K54" s="20">
        <f>'伤害统计(理想)'!K54</f>
        <v>13</v>
      </c>
      <c r="L54" s="20">
        <f>'伤害统计(理想)'!L54</f>
        <v>0</v>
      </c>
      <c r="M54" s="20">
        <f>'伤害统计(理想)'!M54</f>
        <v>0</v>
      </c>
      <c r="N54" s="20">
        <f>'伤害统计(理想)'!N54</f>
        <v>15</v>
      </c>
      <c r="O54" s="20" t="str">
        <f>'伤害统计(理想)'!O54</f>
        <v>三才化生</v>
      </c>
      <c r="P54" s="20">
        <f>'伤害统计(理想)'!P54</f>
        <v>14</v>
      </c>
      <c r="Q54" s="20">
        <f>'伤害统计(理想)'!Q54</f>
        <v>110917</v>
      </c>
      <c r="R54" s="20">
        <f>'伤害统计(理想)'!R54</f>
        <v>0.000513559397410738</v>
      </c>
      <c r="S54" s="20">
        <f>'伤害统计(理想)'!S54</f>
        <v>0</v>
      </c>
      <c r="T54" s="20">
        <f>'伤害统计(理想)'!T54</f>
        <v>0</v>
      </c>
      <c r="U54" s="20">
        <f>'伤害统计(理想)'!U54</f>
        <v>0</v>
      </c>
      <c r="V54" s="20">
        <f>'伤害统计(理想)'!V54</f>
        <v>0</v>
      </c>
      <c r="W54" s="20">
        <f>'伤害统计(理想)'!W54</f>
        <v>0</v>
      </c>
      <c r="X54" s="20">
        <f>'伤害统计(理想)'!X54</f>
        <v>0</v>
      </c>
      <c r="Y54" s="20">
        <f>'伤害统计(理想)'!Y54</f>
        <v>0</v>
      </c>
      <c r="Z54" s="20">
        <f>'伤害统计(理想)'!Z54</f>
        <v>0</v>
      </c>
      <c r="AA54" s="20">
        <f>'伤害统计(理想)'!AA54</f>
        <v>0</v>
      </c>
      <c r="AB54" s="20">
        <f>'伤害统计(理想)'!AB54</f>
        <v>0</v>
      </c>
      <c r="AC54" s="29"/>
    </row>
    <row r="55" spans="1:31">
      <c r="A55" s="20" t="str">
        <f>'伤害统计(理想)'!A55</f>
        <v>破</v>
      </c>
      <c r="B55" s="20">
        <f>'伤害统计(理想)'!B55</f>
        <v>54</v>
      </c>
      <c r="C55" s="20">
        <f>'伤害统计(理想)'!C55</f>
        <v>0</v>
      </c>
      <c r="D55" s="20">
        <f>'伤害统计(理想)'!D55</f>
        <v>5</v>
      </c>
      <c r="E55" s="20">
        <f>'伤害统计(理想)'!E55</f>
        <v>15</v>
      </c>
      <c r="F55" s="20">
        <f>'伤害统计(理想)'!F55</f>
        <v>2</v>
      </c>
      <c r="G55" s="20">
        <f>'伤害统计(理想)'!G55</f>
        <v>0</v>
      </c>
      <c r="H55" s="20">
        <f>'伤害统计(理想)'!H55</f>
        <v>2</v>
      </c>
      <c r="I55" s="20">
        <f>'伤害统计(理想)'!I55</f>
        <v>6</v>
      </c>
      <c r="J55" s="20">
        <f>'伤害统计(理想)'!J55</f>
        <v>0</v>
      </c>
      <c r="K55" s="20">
        <f>'伤害统计(理想)'!K55</f>
        <v>84</v>
      </c>
      <c r="L55" s="20">
        <f>'伤害统计(理想)'!L55</f>
        <v>91</v>
      </c>
      <c r="M55" s="20">
        <f>'伤害统计(理想)'!M55</f>
        <v>0</v>
      </c>
      <c r="N55" s="20">
        <f>'伤害统计(理想)'!N55</f>
        <v>16</v>
      </c>
      <c r="O55" s="20" t="str">
        <f>'伤害统计(理想)'!O55</f>
        <v>气竭(DOT)</v>
      </c>
      <c r="P55" s="20">
        <f>'伤害统计(理想)'!P55</f>
        <v>0</v>
      </c>
      <c r="Q55" s="20">
        <f>'伤害统计(理想)'!Q55</f>
        <v>0</v>
      </c>
      <c r="R55" s="20">
        <f>'伤害统计(理想)'!R55</f>
        <v>0</v>
      </c>
      <c r="S55" s="20">
        <f>'伤害统计(理想)'!S55</f>
        <v>0</v>
      </c>
      <c r="T55" s="20">
        <f>'伤害统计(理想)'!T55</f>
        <v>0</v>
      </c>
      <c r="U55" s="20">
        <f>'伤害统计(理想)'!U55</f>
        <v>0</v>
      </c>
      <c r="V55" s="20">
        <f>'伤害统计(理想)'!V55</f>
        <v>0</v>
      </c>
      <c r="W55" s="20">
        <f>'伤害统计(理想)'!W55</f>
        <v>0</v>
      </c>
      <c r="X55" s="20">
        <f>'伤害统计(理想)'!X55</f>
        <v>0</v>
      </c>
      <c r="Y55" s="20">
        <f>'伤害统计(理想)'!Y55</f>
        <v>0</v>
      </c>
      <c r="Z55" s="20">
        <f>'伤害统计(理想)'!Z55</f>
        <v>0</v>
      </c>
      <c r="AA55" s="20">
        <f>'伤害统计(理想)'!AA55</f>
        <v>0</v>
      </c>
      <c r="AB55" s="20">
        <f>'伤害统计(理想)'!AB55</f>
        <v>0</v>
      </c>
      <c r="AC55" s="29"/>
      <c r="AE55" s="33"/>
    </row>
    <row r="56" spans="1:29">
      <c r="A56" s="20" t="str">
        <f>'伤害统计(理想)'!A56</f>
        <v>破(4</v>
      </c>
      <c r="B56" s="20">
        <f>'伤害统计(理想)'!B56</f>
        <v>0</v>
      </c>
      <c r="C56" s="20">
        <f>'伤害统计(理想)'!C56</f>
        <v>0</v>
      </c>
      <c r="D56" s="20">
        <f>'伤害统计(理想)'!D56</f>
        <v>0</v>
      </c>
      <c r="E56" s="20">
        <f>'伤害统计(理想)'!E56</f>
        <v>0</v>
      </c>
      <c r="F56" s="20">
        <f>'伤害统计(理想)'!F56</f>
        <v>0</v>
      </c>
      <c r="G56" s="20">
        <f>'伤害统计(理想)'!G56</f>
        <v>0</v>
      </c>
      <c r="H56" s="20">
        <f>'伤害统计(理想)'!H56</f>
        <v>0</v>
      </c>
      <c r="I56" s="20">
        <f>'伤害统计(理想)'!I56</f>
        <v>0</v>
      </c>
      <c r="J56" s="20">
        <f>'伤害统计(理想)'!J56</f>
        <v>0</v>
      </c>
      <c r="K56" s="20">
        <f>'伤害统计(理想)'!K56</f>
        <v>0</v>
      </c>
      <c r="L56" s="20">
        <f>'伤害统计(理想)'!L56</f>
        <v>0</v>
      </c>
      <c r="M56" s="20">
        <f>'伤害统计(理想)'!M56</f>
        <v>0</v>
      </c>
      <c r="N56" s="20">
        <f>'伤害统计(理想)'!N56</f>
        <v>17</v>
      </c>
      <c r="O56" s="20" t="str">
        <f>'伤害统计(理想)'!O56</f>
        <v>星辰</v>
      </c>
      <c r="P56" s="20">
        <f>'伤害统计(理想)'!P56</f>
        <v>0</v>
      </c>
      <c r="Q56" s="20">
        <f>'伤害统计(理想)'!Q56</f>
        <v>0</v>
      </c>
      <c r="R56" s="20">
        <f>'伤害统计(理想)'!R56</f>
        <v>0</v>
      </c>
      <c r="S56" s="20">
        <f>'伤害统计(理想)'!S56</f>
        <v>0</v>
      </c>
      <c r="T56" s="20">
        <f>'伤害统计(理想)'!T56</f>
        <v>0</v>
      </c>
      <c r="U56" s="20">
        <f>'伤害统计(理想)'!U56</f>
        <v>0</v>
      </c>
      <c r="V56" s="20">
        <f>'伤害统计(理想)'!V56</f>
        <v>0</v>
      </c>
      <c r="W56" s="20">
        <f>'伤害统计(理想)'!W56</f>
        <v>0</v>
      </c>
      <c r="X56" s="20">
        <f>'伤害统计(理想)'!X56</f>
        <v>0</v>
      </c>
      <c r="Y56" s="20">
        <f>'伤害统计(理想)'!Y56</f>
        <v>0</v>
      </c>
      <c r="Z56" s="20">
        <f>'伤害统计(理想)'!Z56</f>
        <v>0</v>
      </c>
      <c r="AA56" s="20">
        <f>'伤害统计(理想)'!AA56</f>
        <v>0</v>
      </c>
      <c r="AB56" s="20">
        <f>'伤害统计(理想)'!AB56</f>
        <v>0</v>
      </c>
      <c r="AC56" s="29"/>
    </row>
    <row r="57" spans="1:29">
      <c r="A57" s="20" t="str">
        <f>'伤害统计(理想)'!A57</f>
        <v>破(万世二段</v>
      </c>
      <c r="B57" s="20">
        <f>'伤害统计(理想)'!B57</f>
        <v>7</v>
      </c>
      <c r="C57" s="20">
        <f>'伤害统计(理想)'!C57</f>
        <v>0</v>
      </c>
      <c r="D57" s="20">
        <f>'伤害统计(理想)'!D57</f>
        <v>0</v>
      </c>
      <c r="E57" s="20">
        <f>'伤害统计(理想)'!E57</f>
        <v>0</v>
      </c>
      <c r="F57" s="20">
        <f>'伤害统计(理想)'!F57</f>
        <v>0</v>
      </c>
      <c r="G57" s="20">
        <f>'伤害统计(理想)'!G57</f>
        <v>0</v>
      </c>
      <c r="H57" s="20">
        <f>'伤害统计(理想)'!H57</f>
        <v>0</v>
      </c>
      <c r="I57" s="20">
        <f>'伤害统计(理想)'!I57</f>
        <v>0</v>
      </c>
      <c r="J57" s="20">
        <f>'伤害统计(理想)'!J57</f>
        <v>0</v>
      </c>
      <c r="K57" s="20">
        <f>'伤害统计(理想)'!K57</f>
        <v>7</v>
      </c>
      <c r="L57" s="20">
        <f>'伤害统计(理想)'!L57</f>
        <v>0</v>
      </c>
      <c r="M57" s="20">
        <f>'伤害统计(理想)'!M57</f>
        <v>0</v>
      </c>
      <c r="N57" s="20">
        <f>'伤害统计(理想)'!N57</f>
        <v>18</v>
      </c>
      <c r="O57" s="20" t="str">
        <f>'伤害统计(理想)'!O57</f>
        <v>四象轮回·神兵</v>
      </c>
      <c r="P57" s="20">
        <f>'伤害统计(理想)'!P57</f>
        <v>0</v>
      </c>
      <c r="Q57" s="20">
        <f>'伤害统计(理想)'!Q57</f>
        <v>0</v>
      </c>
      <c r="R57" s="20">
        <f>'伤害统计(理想)'!R57</f>
        <v>0</v>
      </c>
      <c r="S57" s="20">
        <f>'伤害统计(理想)'!S57</f>
        <v>0</v>
      </c>
      <c r="T57" s="20">
        <f>'伤害统计(理想)'!T57</f>
        <v>0</v>
      </c>
      <c r="U57" s="20">
        <f>'伤害统计(理想)'!U57</f>
        <v>0</v>
      </c>
      <c r="V57" s="20">
        <f>'伤害统计(理想)'!V57</f>
        <v>0</v>
      </c>
      <c r="W57" s="20">
        <f>'伤害统计(理想)'!W57</f>
        <v>0</v>
      </c>
      <c r="X57" s="20">
        <f>'伤害统计(理想)'!X57</f>
        <v>0</v>
      </c>
      <c r="Y57" s="20">
        <f>'伤害统计(理想)'!Y57</f>
        <v>0</v>
      </c>
      <c r="Z57" s="20">
        <f>'伤害统计(理想)'!Z57</f>
        <v>0</v>
      </c>
      <c r="AA57" s="20">
        <f>'伤害统计(理想)'!AA57</f>
        <v>0</v>
      </c>
      <c r="AB57" s="20">
        <f>'伤害统计(理想)'!AB57</f>
        <v>0</v>
      </c>
      <c r="AC57" s="29"/>
    </row>
    <row r="58" spans="1:29">
      <c r="A58" s="20" t="str">
        <f>'伤害统计(理想)'!A58</f>
        <v>三才化生</v>
      </c>
      <c r="B58" s="20">
        <f>'伤害统计(理想)'!B58</f>
        <v>14</v>
      </c>
      <c r="C58" s="20">
        <f>'伤害统计(理想)'!C58</f>
        <v>0</v>
      </c>
      <c r="D58" s="20">
        <f>'伤害统计(理想)'!D58</f>
        <v>0</v>
      </c>
      <c r="E58" s="20">
        <f>'伤害统计(理想)'!E58</f>
        <v>0</v>
      </c>
      <c r="F58" s="20">
        <f>'伤害统计(理想)'!F58</f>
        <v>0</v>
      </c>
      <c r="G58" s="20">
        <f>'伤害统计(理想)'!G58</f>
        <v>0</v>
      </c>
      <c r="H58" s="20">
        <f>'伤害统计(理想)'!H58</f>
        <v>0</v>
      </c>
      <c r="I58" s="20">
        <f>'伤害统计(理想)'!I58</f>
        <v>0</v>
      </c>
      <c r="J58" s="20">
        <f>'伤害统计(理想)'!J58</f>
        <v>0</v>
      </c>
      <c r="K58" s="20">
        <f>'伤害统计(理想)'!K58</f>
        <v>14</v>
      </c>
      <c r="L58" s="20">
        <f>'伤害统计(理想)'!L58</f>
        <v>14</v>
      </c>
      <c r="M58" s="20">
        <f>'伤害统计(理想)'!M58</f>
        <v>0</v>
      </c>
      <c r="N58" s="20">
        <f>'伤害统计(理想)'!N58</f>
        <v>0</v>
      </c>
      <c r="O58" s="20">
        <f>'伤害统计(理想)'!O58</f>
        <v>0</v>
      </c>
      <c r="P58" s="20">
        <f>'伤害统计(理想)'!P58</f>
        <v>0</v>
      </c>
      <c r="Q58" s="20">
        <f>'伤害统计(理想)'!Q58</f>
        <v>0</v>
      </c>
      <c r="R58" s="20">
        <f>'伤害统计(理想)'!R58</f>
        <v>0</v>
      </c>
      <c r="S58" s="20">
        <f>'伤害统计(理想)'!S58</f>
        <v>0</v>
      </c>
      <c r="T58" s="20">
        <f>'伤害统计(理想)'!T58</f>
        <v>0</v>
      </c>
      <c r="U58" s="20">
        <f>'伤害统计(理想)'!U58</f>
        <v>0</v>
      </c>
      <c r="V58" s="20">
        <f>'伤害统计(理想)'!V58</f>
        <v>0</v>
      </c>
      <c r="W58" s="20">
        <f>'伤害统计(理想)'!W58</f>
        <v>0</v>
      </c>
      <c r="X58" s="20">
        <f>'伤害统计(理想)'!X58</f>
        <v>0</v>
      </c>
      <c r="Y58" s="20">
        <f>'伤害统计(理想)'!Y58</f>
        <v>0</v>
      </c>
      <c r="Z58" s="20">
        <f>'伤害统计(理想)'!Z58</f>
        <v>0</v>
      </c>
      <c r="AA58" s="20">
        <f>'伤害统计(理想)'!AA58</f>
        <v>0</v>
      </c>
      <c r="AB58" s="20">
        <f>'伤害统计(理想)'!AB58</f>
        <v>0</v>
      </c>
      <c r="AC58" s="29"/>
    </row>
    <row r="59" spans="1:28">
      <c r="A59" s="20" t="str">
        <f>'伤害统计(理想)'!A59</f>
        <v>厚亡</v>
      </c>
      <c r="B59" s="20">
        <f>'伤害统计(理想)'!B59</f>
        <v>0</v>
      </c>
      <c r="C59" s="20">
        <f>'伤害统计(理想)'!C59</f>
        <v>0</v>
      </c>
      <c r="D59" s="20">
        <f>'伤害统计(理想)'!D59</f>
        <v>0</v>
      </c>
      <c r="E59" s="20">
        <f>'伤害统计(理想)'!E59</f>
        <v>0</v>
      </c>
      <c r="F59" s="20">
        <f>'伤害统计(理想)'!F59</f>
        <v>0</v>
      </c>
      <c r="G59" s="20">
        <f>'伤害统计(理想)'!G59</f>
        <v>0</v>
      </c>
      <c r="H59" s="20">
        <f>'伤害统计(理想)'!H59</f>
        <v>0</v>
      </c>
      <c r="I59" s="20">
        <f>'伤害统计(理想)'!I59</f>
        <v>0</v>
      </c>
      <c r="J59" s="20">
        <f>'伤害统计(理想)'!J59</f>
        <v>0</v>
      </c>
      <c r="K59" s="20">
        <f>'伤害统计(理想)'!K59</f>
        <v>0</v>
      </c>
      <c r="L59" s="20">
        <f>'伤害统计(理想)'!L59</f>
        <v>0</v>
      </c>
      <c r="M59" s="20">
        <f>'伤害统计(理想)'!M59</f>
        <v>0</v>
      </c>
      <c r="N59" s="20">
        <f>'伤害统计(理想)'!N59</f>
        <v>0</v>
      </c>
      <c r="O59" s="20">
        <f>'伤害统计(理想)'!O59</f>
        <v>0</v>
      </c>
      <c r="P59" s="20">
        <f>'伤害统计(理想)'!P59</f>
        <v>0</v>
      </c>
      <c r="Q59" s="20">
        <f>'伤害统计(理想)'!Q59</f>
        <v>0</v>
      </c>
      <c r="R59" s="20">
        <f>'伤害统计(理想)'!R59</f>
        <v>0</v>
      </c>
      <c r="S59" s="20">
        <f>'伤害统计(理想)'!S59</f>
        <v>0</v>
      </c>
      <c r="T59" s="20">
        <f>'伤害统计(理想)'!T59</f>
        <v>0</v>
      </c>
      <c r="U59" s="20">
        <f>'伤害统计(理想)'!U59</f>
        <v>0</v>
      </c>
      <c r="V59" s="20">
        <f>'伤害统计(理想)'!V59</f>
        <v>0</v>
      </c>
      <c r="W59" s="20">
        <f>'伤害统计(理想)'!W59</f>
        <v>0</v>
      </c>
      <c r="X59" s="20">
        <f>'伤害统计(理想)'!X59</f>
        <v>0</v>
      </c>
      <c r="Y59" s="20">
        <f>'伤害统计(理想)'!Y59</f>
        <v>0</v>
      </c>
      <c r="Z59" s="20">
        <f>'伤害统计(理想)'!Z59</f>
        <v>0</v>
      </c>
      <c r="AA59" s="20">
        <f>'伤害统计(理想)'!AA59</f>
        <v>0</v>
      </c>
      <c r="AB59" s="20">
        <f>'伤害统计(理想)'!AB59</f>
        <v>0</v>
      </c>
    </row>
    <row r="60" spans="1:28">
      <c r="A60" s="20" t="str">
        <f>'伤害统计(理想)'!A60</f>
        <v>刃凌</v>
      </c>
      <c r="B60" s="20">
        <f>'伤害统计(理想)'!B60</f>
        <v>16</v>
      </c>
      <c r="C60" s="20">
        <f>'伤害统计(理想)'!C60</f>
        <v>0</v>
      </c>
      <c r="D60" s="20">
        <f>'伤害统计(理想)'!D60</f>
        <v>0</v>
      </c>
      <c r="E60" s="20">
        <f>'伤害统计(理想)'!E60</f>
        <v>5</v>
      </c>
      <c r="F60" s="20">
        <f>'伤害统计(理想)'!F60</f>
        <v>2</v>
      </c>
      <c r="G60" s="20">
        <f>'伤害统计(理想)'!G60</f>
        <v>0</v>
      </c>
      <c r="H60" s="20">
        <f>'伤害统计(理想)'!H60</f>
        <v>0</v>
      </c>
      <c r="I60" s="20">
        <f>'伤害统计(理想)'!I60</f>
        <v>0</v>
      </c>
      <c r="J60" s="20">
        <f>'伤害统计(理想)'!J60</f>
        <v>0</v>
      </c>
      <c r="K60" s="20">
        <f>'伤害统计(理想)'!K60</f>
        <v>23</v>
      </c>
      <c r="L60" s="20">
        <f>'伤害统计(理想)'!L60</f>
        <v>23</v>
      </c>
      <c r="M60" s="20">
        <f>'伤害统计(理想)'!M60</f>
        <v>0</v>
      </c>
      <c r="N60" s="20">
        <f>'伤害统计(理想)'!N60</f>
        <v>0</v>
      </c>
      <c r="O60" s="20">
        <f>'伤害统计(理想)'!O60</f>
        <v>0</v>
      </c>
      <c r="P60" s="20">
        <f>'伤害统计(理想)'!P60</f>
        <v>0</v>
      </c>
      <c r="Q60" s="20">
        <f>'伤害统计(理想)'!Q60</f>
        <v>0</v>
      </c>
      <c r="R60" s="20">
        <f>'伤害统计(理想)'!R60</f>
        <v>0</v>
      </c>
      <c r="S60" s="20">
        <f>'伤害统计(理想)'!S60</f>
        <v>0</v>
      </c>
      <c r="T60" s="20">
        <f>'伤害统计(理想)'!T60</f>
        <v>0</v>
      </c>
      <c r="U60" s="20">
        <f>'伤害统计(理想)'!U60</f>
        <v>0</v>
      </c>
      <c r="V60" s="20">
        <f>'伤害统计(理想)'!V60</f>
        <v>0</v>
      </c>
      <c r="W60" s="20">
        <f>'伤害统计(理想)'!W60</f>
        <v>0</v>
      </c>
      <c r="X60" s="20">
        <f>'伤害统计(理想)'!X60</f>
        <v>0</v>
      </c>
      <c r="Y60" s="20">
        <f>'伤害统计(理想)'!Y60</f>
        <v>0</v>
      </c>
      <c r="Z60" s="20">
        <f>'伤害统计(理想)'!Z60</f>
        <v>0</v>
      </c>
      <c r="AA60" s="20">
        <f>'伤害统计(理想)'!AA60</f>
        <v>0</v>
      </c>
      <c r="AB60" s="20">
        <f>'伤害统计(理想)'!AB60</f>
        <v>0</v>
      </c>
    </row>
    <row r="61" spans="1:28">
      <c r="A61" s="20" t="str">
        <f>'伤害统计(理想)'!A61</f>
        <v>昆吾·弦刃</v>
      </c>
      <c r="B61" s="20">
        <f>'伤害统计(理想)'!B61</f>
        <v>14</v>
      </c>
      <c r="C61" s="20">
        <f>'伤害统计(理想)'!C61</f>
        <v>0</v>
      </c>
      <c r="D61" s="20">
        <f>'伤害统计(理想)'!D61</f>
        <v>0</v>
      </c>
      <c r="E61" s="20">
        <f>'伤害统计(理想)'!E61</f>
        <v>2</v>
      </c>
      <c r="F61" s="20">
        <f>'伤害统计(理想)'!F61</f>
        <v>0</v>
      </c>
      <c r="G61" s="20">
        <f>'伤害统计(理想)'!G61</f>
        <v>0</v>
      </c>
      <c r="H61" s="20">
        <f>'伤害统计(理想)'!H61</f>
        <v>0</v>
      </c>
      <c r="I61" s="20">
        <f>'伤害统计(理想)'!I61</f>
        <v>0</v>
      </c>
      <c r="J61" s="20">
        <f>'伤害统计(理想)'!J61</f>
        <v>0</v>
      </c>
      <c r="K61" s="20">
        <f>'伤害统计(理想)'!K61</f>
        <v>16</v>
      </c>
      <c r="L61" s="20">
        <f>'伤害统计(理想)'!L61</f>
        <v>16</v>
      </c>
      <c r="M61" s="20">
        <f>'伤害统计(理想)'!M61</f>
        <v>0</v>
      </c>
      <c r="N61" s="20">
        <f>'伤害统计(理想)'!N61</f>
        <v>0</v>
      </c>
      <c r="O61" s="20">
        <f>'伤害统计(理想)'!O61</f>
        <v>0</v>
      </c>
      <c r="P61" s="20">
        <f>'伤害统计(理想)'!P61</f>
        <v>0</v>
      </c>
      <c r="Q61" s="20">
        <f>'伤害统计(理想)'!Q61</f>
        <v>0</v>
      </c>
      <c r="R61" s="20">
        <f>'伤害统计(理想)'!R61</f>
        <v>0</v>
      </c>
      <c r="S61" s="20">
        <f>'伤害统计(理想)'!S61</f>
        <v>0</v>
      </c>
      <c r="T61" s="20">
        <f>'伤害统计(理想)'!T61</f>
        <v>0</v>
      </c>
      <c r="U61" s="20">
        <f>'伤害统计(理想)'!U61</f>
        <v>0</v>
      </c>
      <c r="V61" s="20">
        <f>'伤害统计(理想)'!V61</f>
        <v>0</v>
      </c>
      <c r="W61" s="20">
        <f>'伤害统计(理想)'!W61</f>
        <v>0</v>
      </c>
      <c r="X61" s="20">
        <f>'伤害统计(理想)'!X61</f>
        <v>0</v>
      </c>
      <c r="Y61" s="20">
        <f>'伤害统计(理想)'!Y61</f>
        <v>0</v>
      </c>
      <c r="Z61" s="20">
        <f>'伤害统计(理想)'!Z61</f>
        <v>0</v>
      </c>
      <c r="AA61" s="20">
        <f>'伤害统计(理想)'!AA61</f>
        <v>0</v>
      </c>
      <c r="AB61" s="20">
        <f>'伤害统计(理想)'!AB61</f>
        <v>0</v>
      </c>
    </row>
    <row r="62" spans="1:35">
      <c r="A62" s="20" t="str">
        <f>'伤害统计(理想)'!A62</f>
        <v>腾空·三才</v>
      </c>
      <c r="B62" s="20">
        <f>'伤害统计(理想)'!B62</f>
        <v>0</v>
      </c>
      <c r="C62" s="20">
        <f>'伤害统计(理想)'!C62</f>
        <v>0</v>
      </c>
      <c r="D62" s="20">
        <f>'伤害统计(理想)'!D62</f>
        <v>0</v>
      </c>
      <c r="E62" s="20">
        <f>'伤害统计(理想)'!E62</f>
        <v>0</v>
      </c>
      <c r="F62" s="20">
        <f>'伤害统计(理想)'!F62</f>
        <v>0</v>
      </c>
      <c r="G62" s="20">
        <f>'伤害统计(理想)'!G62</f>
        <v>0</v>
      </c>
      <c r="H62" s="20">
        <f>'伤害统计(理想)'!H62</f>
        <v>0</v>
      </c>
      <c r="I62" s="20">
        <f>'伤害统计(理想)'!I62</f>
        <v>0</v>
      </c>
      <c r="J62" s="20">
        <f>'伤害统计(理想)'!J62</f>
        <v>0</v>
      </c>
      <c r="K62" s="20">
        <f>'伤害统计(理想)'!K62</f>
        <v>0</v>
      </c>
      <c r="L62" s="20">
        <f>'伤害统计(理想)'!L62</f>
        <v>0</v>
      </c>
      <c r="M62" s="20">
        <f>'伤害统计(理想)'!M62</f>
        <v>0</v>
      </c>
      <c r="N62" s="20">
        <f>'伤害统计(理想)'!N62</f>
        <v>0</v>
      </c>
      <c r="O62" s="20">
        <f>'伤害统计(理想)'!O62</f>
        <v>0</v>
      </c>
      <c r="P62" s="20">
        <f>'伤害统计(理想)'!P62</f>
        <v>0</v>
      </c>
      <c r="Q62" s="20">
        <f>'伤害统计(理想)'!Q62</f>
        <v>0</v>
      </c>
      <c r="R62" s="20">
        <f>'伤害统计(理想)'!R62</f>
        <v>0</v>
      </c>
      <c r="S62" s="20">
        <f>'伤害统计(理想)'!S62</f>
        <v>0</v>
      </c>
      <c r="T62" s="20">
        <f>'伤害统计(理想)'!T62</f>
        <v>0</v>
      </c>
      <c r="U62" s="20">
        <f>'伤害统计(理想)'!U62</f>
        <v>0</v>
      </c>
      <c r="V62" s="20">
        <f>'伤害统计(理想)'!V62</f>
        <v>0</v>
      </c>
      <c r="W62" s="20">
        <f>'伤害统计(理想)'!W62</f>
        <v>0</v>
      </c>
      <c r="X62" s="20">
        <f>'伤害统计(理想)'!X62</f>
        <v>0</v>
      </c>
      <c r="Y62" s="20">
        <f>'伤害统计(理想)'!Y62</f>
        <v>0</v>
      </c>
      <c r="Z62" s="20">
        <f>'伤害统计(理想)'!Z62</f>
        <v>0</v>
      </c>
      <c r="AA62" s="20">
        <f>'伤害统计(理想)'!AA62</f>
        <v>0</v>
      </c>
      <c r="AB62" s="20">
        <f>'伤害统计(理想)'!AB62</f>
        <v>0</v>
      </c>
      <c r="AH62" s="33"/>
      <c r="AI62" s="33"/>
    </row>
    <row r="63" spans="1:28">
      <c r="A63" s="20" t="str">
        <f>'伤害统计(理想)'!A63</f>
        <v>腾空·凭虚</v>
      </c>
      <c r="B63" s="20">
        <f>'伤害统计(理想)'!B63</f>
        <v>0</v>
      </c>
      <c r="C63" s="20">
        <f>'伤害统计(理想)'!C63</f>
        <v>0</v>
      </c>
      <c r="D63" s="20">
        <f>'伤害统计(理想)'!D63</f>
        <v>0</v>
      </c>
      <c r="E63" s="20">
        <f>'伤害统计(理想)'!E63</f>
        <v>0</v>
      </c>
      <c r="F63" s="20">
        <f>'伤害统计(理想)'!F63</f>
        <v>0</v>
      </c>
      <c r="G63" s="20">
        <f>'伤害统计(理想)'!G63</f>
        <v>0</v>
      </c>
      <c r="H63" s="20">
        <f>'伤害统计(理想)'!H63</f>
        <v>0</v>
      </c>
      <c r="I63" s="20">
        <f>'伤害统计(理想)'!I63</f>
        <v>0</v>
      </c>
      <c r="J63" s="20">
        <f>'伤害统计(理想)'!J63</f>
        <v>0</v>
      </c>
      <c r="K63" s="20">
        <f>'伤害统计(理想)'!K63</f>
        <v>0</v>
      </c>
      <c r="L63" s="20">
        <f>'伤害统计(理想)'!L63</f>
        <v>0</v>
      </c>
      <c r="M63" s="20">
        <f>'伤害统计(理想)'!M63</f>
        <v>0</v>
      </c>
      <c r="N63" s="20">
        <f>'伤害统计(理想)'!N63</f>
        <v>0</v>
      </c>
      <c r="O63" s="20">
        <f>'伤害统计(理想)'!O63</f>
        <v>0</v>
      </c>
      <c r="P63" s="20">
        <f>'伤害统计(理想)'!P63</f>
        <v>0</v>
      </c>
      <c r="Q63" s="20">
        <f>'伤害统计(理想)'!Q63</f>
        <v>0</v>
      </c>
      <c r="R63" s="20">
        <f>'伤害统计(理想)'!R63</f>
        <v>0</v>
      </c>
      <c r="S63" s="20">
        <f>'伤害统计(理想)'!S63</f>
        <v>0</v>
      </c>
      <c r="T63" s="20">
        <f>'伤害统计(理想)'!T63</f>
        <v>0</v>
      </c>
      <c r="U63" s="20">
        <f>'伤害统计(理想)'!U63</f>
        <v>0</v>
      </c>
      <c r="V63" s="20">
        <f>'伤害统计(理想)'!V63</f>
        <v>0</v>
      </c>
      <c r="W63" s="20">
        <f>'伤害统计(理想)'!W63</f>
        <v>0</v>
      </c>
      <c r="X63" s="20">
        <f>'伤害统计(理想)'!X63</f>
        <v>0</v>
      </c>
      <c r="Y63" s="20">
        <f>'伤害统计(理想)'!Y63</f>
        <v>0</v>
      </c>
      <c r="Z63" s="20">
        <f>'伤害统计(理想)'!Z63</f>
        <v>0</v>
      </c>
      <c r="AA63" s="20">
        <f>'伤害统计(理想)'!AA63</f>
        <v>0</v>
      </c>
      <c r="AB63" s="20">
        <f>'伤害统计(理想)'!AB63</f>
        <v>0</v>
      </c>
    </row>
    <row r="64" spans="1:33">
      <c r="A64" s="20" t="str">
        <f>'伤害统计(理想)'!A64</f>
        <v>腾空·凭虚·定</v>
      </c>
      <c r="B64" s="20">
        <f>'伤害统计(理想)'!B64</f>
        <v>0</v>
      </c>
      <c r="C64" s="20">
        <f>'伤害统计(理想)'!C64</f>
        <v>0</v>
      </c>
      <c r="D64" s="20">
        <f>'伤害统计(理想)'!D64</f>
        <v>0</v>
      </c>
      <c r="E64" s="20">
        <f>'伤害统计(理想)'!E64</f>
        <v>0</v>
      </c>
      <c r="F64" s="20">
        <f>'伤害统计(理想)'!F64</f>
        <v>0</v>
      </c>
      <c r="G64" s="20">
        <f>'伤害统计(理想)'!G64</f>
        <v>0</v>
      </c>
      <c r="H64" s="20">
        <f>'伤害统计(理想)'!H64</f>
        <v>0</v>
      </c>
      <c r="I64" s="20">
        <f>'伤害统计(理想)'!I64</f>
        <v>0</v>
      </c>
      <c r="J64" s="20">
        <f>'伤害统计(理想)'!J64</f>
        <v>0</v>
      </c>
      <c r="K64" s="20">
        <f>'伤害统计(理想)'!K64</f>
        <v>0</v>
      </c>
      <c r="L64" s="20">
        <f>'伤害统计(理想)'!L64</f>
        <v>0</v>
      </c>
      <c r="M64" s="20">
        <f>'伤害统计(理想)'!M64</f>
        <v>0</v>
      </c>
      <c r="N64" s="20">
        <f>'伤害统计(理想)'!N64</f>
        <v>0</v>
      </c>
      <c r="O64" s="20">
        <f>'伤害统计(理想)'!O64</f>
        <v>0</v>
      </c>
      <c r="P64" s="20">
        <f>'伤害统计(理想)'!P64</f>
        <v>0</v>
      </c>
      <c r="Q64" s="20">
        <f>'伤害统计(理想)'!Q64</f>
        <v>0</v>
      </c>
      <c r="R64" s="20">
        <f>'伤害统计(理想)'!R64</f>
        <v>0</v>
      </c>
      <c r="S64" s="20">
        <f>'伤害统计(理想)'!S64</f>
        <v>0</v>
      </c>
      <c r="T64" s="20">
        <f>'伤害统计(理想)'!T64</f>
        <v>0</v>
      </c>
      <c r="U64" s="20">
        <f>'伤害统计(理想)'!U64</f>
        <v>0</v>
      </c>
      <c r="V64" s="20">
        <f>'伤害统计(理想)'!V64</f>
        <v>0</v>
      </c>
      <c r="W64" s="20">
        <f>'伤害统计(理想)'!W64</f>
        <v>0</v>
      </c>
      <c r="X64" s="20">
        <f>'伤害统计(理想)'!X64</f>
        <v>0</v>
      </c>
      <c r="Y64" s="20">
        <f>'伤害统计(理想)'!Y64</f>
        <v>0</v>
      </c>
      <c r="Z64" s="20">
        <f>'伤害统计(理想)'!Z64</f>
        <v>0</v>
      </c>
      <c r="AA64" s="20">
        <f>'伤害统计(理想)'!AA64</f>
        <v>0</v>
      </c>
      <c r="AB64" s="20">
        <f>'伤害统计(理想)'!AB64</f>
        <v>0</v>
      </c>
      <c r="AG64" s="33"/>
    </row>
    <row r="65" spans="1:28">
      <c r="A65" s="20" t="str">
        <f>'伤害统计(理想)'!A65</f>
        <v>气竭(DOT)</v>
      </c>
      <c r="B65" s="20">
        <f>'伤害统计(理想)'!B65</f>
        <v>0</v>
      </c>
      <c r="C65" s="20">
        <f>'伤害统计(理想)'!C65</f>
        <v>0</v>
      </c>
      <c r="D65" s="20">
        <f>'伤害统计(理想)'!D65</f>
        <v>0</v>
      </c>
      <c r="E65" s="20">
        <f>'伤害统计(理想)'!E65</f>
        <v>0</v>
      </c>
      <c r="F65" s="20">
        <f>'伤害统计(理想)'!F65</f>
        <v>0</v>
      </c>
      <c r="G65" s="20">
        <f>'伤害统计(理想)'!G65</f>
        <v>0</v>
      </c>
      <c r="H65" s="20">
        <f>'伤害统计(理想)'!H65</f>
        <v>0</v>
      </c>
      <c r="I65" s="20">
        <f>'伤害统计(理想)'!I65</f>
        <v>0</v>
      </c>
      <c r="J65" s="20">
        <f>'伤害统计(理想)'!J65</f>
        <v>0</v>
      </c>
      <c r="K65" s="20">
        <f>'伤害统计(理想)'!K65</f>
        <v>0</v>
      </c>
      <c r="L65" s="20">
        <f>'伤害统计(理想)'!L65</f>
        <v>0</v>
      </c>
      <c r="M65" s="20">
        <f>'伤害统计(理想)'!M65</f>
        <v>0</v>
      </c>
      <c r="N65" s="20">
        <f>'伤害统计(理想)'!N65</f>
        <v>0</v>
      </c>
      <c r="O65" s="20">
        <f>'伤害统计(理想)'!O65</f>
        <v>0</v>
      </c>
      <c r="P65" s="20">
        <f>'伤害统计(理想)'!P65</f>
        <v>0</v>
      </c>
      <c r="Q65" s="20">
        <f>'伤害统计(理想)'!Q65</f>
        <v>0</v>
      </c>
      <c r="R65" s="20">
        <f>'伤害统计(理想)'!R65</f>
        <v>0</v>
      </c>
      <c r="S65" s="20">
        <f>'伤害统计(理想)'!S65</f>
        <v>0</v>
      </c>
      <c r="T65" s="20">
        <f>'伤害统计(理想)'!T65</f>
        <v>0</v>
      </c>
      <c r="U65" s="20">
        <f>'伤害统计(理想)'!U65</f>
        <v>0</v>
      </c>
      <c r="V65" s="20">
        <f>'伤害统计(理想)'!V65</f>
        <v>0</v>
      </c>
      <c r="W65" s="20">
        <f>'伤害统计(理想)'!W65</f>
        <v>0</v>
      </c>
      <c r="X65" s="20">
        <f>'伤害统计(理想)'!X65</f>
        <v>0</v>
      </c>
      <c r="Y65" s="20">
        <f>'伤害统计(理想)'!Y65</f>
        <v>0</v>
      </c>
      <c r="Z65" s="20">
        <f>'伤害统计(理想)'!Z65</f>
        <v>0</v>
      </c>
      <c r="AA65" s="20">
        <f>'伤害统计(理想)'!AA65</f>
        <v>0</v>
      </c>
      <c r="AB65" s="20">
        <f>'伤害统计(理想)'!AB65</f>
        <v>0</v>
      </c>
    </row>
    <row r="66" spans="1:28">
      <c r="A66" s="20" t="str">
        <f>'伤害统计(理想)'!A66</f>
        <v>星辰</v>
      </c>
      <c r="B66" s="20">
        <f>'伤害统计(理想)'!B66</f>
        <v>0</v>
      </c>
      <c r="C66" s="20">
        <f>'伤害统计(理想)'!C66</f>
        <v>0</v>
      </c>
      <c r="D66" s="20">
        <f>'伤害统计(理想)'!D66</f>
        <v>0</v>
      </c>
      <c r="E66" s="20">
        <f>'伤害统计(理想)'!E66</f>
        <v>0</v>
      </c>
      <c r="F66" s="20">
        <f>'伤害统计(理想)'!F66</f>
        <v>0</v>
      </c>
      <c r="G66" s="20">
        <f>'伤害统计(理想)'!G66</f>
        <v>0</v>
      </c>
      <c r="H66" s="20">
        <f>'伤害统计(理想)'!H66</f>
        <v>0</v>
      </c>
      <c r="I66" s="20">
        <f>'伤害统计(理想)'!I66</f>
        <v>0</v>
      </c>
      <c r="J66" s="20">
        <f>'伤害统计(理想)'!J66</f>
        <v>0</v>
      </c>
      <c r="K66" s="20">
        <f>'伤害统计(理想)'!K66</f>
        <v>0</v>
      </c>
      <c r="L66" s="20">
        <f>'伤害统计(理想)'!L66</f>
        <v>0</v>
      </c>
      <c r="M66" s="20">
        <f>'伤害统计(理想)'!M66</f>
        <v>0</v>
      </c>
      <c r="N66" s="20">
        <f>'伤害统计(理想)'!N66</f>
        <v>0</v>
      </c>
      <c r="O66" s="20">
        <f>'伤害统计(理想)'!O66</f>
        <v>0</v>
      </c>
      <c r="P66" s="20">
        <f>'伤害统计(理想)'!P66</f>
        <v>0</v>
      </c>
      <c r="Q66" s="20">
        <f>'伤害统计(理想)'!Q66</f>
        <v>0</v>
      </c>
      <c r="R66" s="20">
        <f>'伤害统计(理想)'!R66</f>
        <v>0</v>
      </c>
      <c r="S66" s="20">
        <f>'伤害统计(理想)'!S66</f>
        <v>0</v>
      </c>
      <c r="T66" s="20">
        <f>'伤害统计(理想)'!T66</f>
        <v>0</v>
      </c>
      <c r="U66" s="20">
        <f>'伤害统计(理想)'!U66</f>
        <v>0</v>
      </c>
      <c r="V66" s="20">
        <f>'伤害统计(理想)'!V66</f>
        <v>0</v>
      </c>
      <c r="W66" s="20">
        <f>'伤害统计(理想)'!W66</f>
        <v>0</v>
      </c>
      <c r="X66" s="20">
        <f>'伤害统计(理想)'!X66</f>
        <v>0</v>
      </c>
      <c r="Y66" s="20">
        <f>'伤害统计(理想)'!Y66</f>
        <v>0</v>
      </c>
      <c r="Z66" s="20">
        <f>'伤害统计(理想)'!Z66</f>
        <v>0</v>
      </c>
      <c r="AA66" s="20">
        <f>'伤害统计(理想)'!AA66</f>
        <v>0</v>
      </c>
      <c r="AB66" s="20">
        <f>'伤害统计(理想)'!AB66</f>
        <v>0</v>
      </c>
    </row>
    <row r="67" spans="1:9">
      <c r="A67" s="20" t="str">
        <f>'伤害统计(理想)'!A67</f>
        <v>四象轮回·神兵</v>
      </c>
      <c r="B67" s="20">
        <f>'伤害统计(理想)'!B67</f>
        <v>0</v>
      </c>
      <c r="C67" s="20">
        <f>'伤害统计(理想)'!C67</f>
        <v>0</v>
      </c>
      <c r="D67" s="20">
        <f>'伤害统计(理想)'!D67</f>
        <v>0</v>
      </c>
      <c r="E67" s="20">
        <f>'伤害统计(理想)'!E67</f>
        <v>0</v>
      </c>
      <c r="F67" s="20">
        <f>'伤害统计(理想)'!F67</f>
        <v>0</v>
      </c>
      <c r="G67" s="20">
        <f>'伤害统计(理想)'!G67</f>
        <v>0</v>
      </c>
      <c r="H67" s="20">
        <f>'伤害统计(理想)'!H67</f>
        <v>0</v>
      </c>
      <c r="I67" s="20">
        <f>'伤害统计(理想)'!I67</f>
        <v>0</v>
      </c>
    </row>
    <row r="69" spans="33:33">
      <c r="AG69" s="33"/>
    </row>
    <row r="70" spans="2:12">
      <c r="B70" s="20" t="s">
        <v>365</v>
      </c>
      <c r="C70" s="20" t="s">
        <v>987</v>
      </c>
      <c r="D70" s="20" t="s">
        <v>988</v>
      </c>
      <c r="E70" s="20" t="s">
        <v>989</v>
      </c>
      <c r="F70" s="20" t="s">
        <v>990</v>
      </c>
      <c r="G70" s="20" t="s">
        <v>991</v>
      </c>
      <c r="H70" s="20" t="s">
        <v>992</v>
      </c>
      <c r="I70" s="20" t="s">
        <v>993</v>
      </c>
      <c r="L70" s="20" t="s">
        <v>996</v>
      </c>
    </row>
    <row r="71" spans="1:12">
      <c r="A71" s="20" t="s">
        <v>959</v>
      </c>
      <c r="B71" s="20">
        <f t="shared" ref="B71:B100" si="13">(AC2*(1-Q2)+AF2*Q2)*B38</f>
        <v>4554092.0068</v>
      </c>
      <c r="C71" s="20">
        <f t="shared" ref="C71:C100" si="14">(AI2*(1-S2)+AJ2*S2)*C38</f>
        <v>0</v>
      </c>
      <c r="D71" s="20">
        <f t="shared" ref="D71:D100" si="15">(AD2*(1-S2)+AG2*S2)*D38</f>
        <v>0</v>
      </c>
      <c r="E71" s="20">
        <f t="shared" ref="E71:E100" si="16">(AD2*(1-S2)+AM2*S2)*E38</f>
        <v>0</v>
      </c>
      <c r="F71" s="20">
        <f t="shared" ref="F71:F100" si="17">(AE2*(1-Q2)+AH2*Q2)*F38</f>
        <v>0</v>
      </c>
      <c r="G71" s="20">
        <f t="shared" ref="G71:G100" si="18">(AK2*(1-S2)+AL2*S2)*G38</f>
        <v>0</v>
      </c>
      <c r="H71" s="20">
        <f t="shared" ref="H71:H100" si="19">(AE2*(1-S2)+AH2*S2)*H38</f>
        <v>0</v>
      </c>
      <c r="I71" s="20">
        <f t="shared" ref="I71:I100" si="20">(AE2*(1-S2)+AN2*S2)*I38</f>
        <v>0</v>
      </c>
      <c r="K71" s="20">
        <f t="shared" ref="K71:K99" si="21">INT(SUM(B71:I71))</f>
        <v>4554092</v>
      </c>
      <c r="L71" s="20">
        <f>K71</f>
        <v>4554092</v>
      </c>
    </row>
    <row r="72" spans="1:12">
      <c r="A72" s="20" t="s">
        <v>960</v>
      </c>
      <c r="B72" s="20">
        <f t="shared" si="13"/>
        <v>7547237.874</v>
      </c>
      <c r="C72" s="20">
        <f t="shared" si="14"/>
        <v>0</v>
      </c>
      <c r="D72" s="20">
        <f t="shared" si="15"/>
        <v>675606.835</v>
      </c>
      <c r="E72" s="20">
        <f t="shared" si="16"/>
        <v>1449727.42</v>
      </c>
      <c r="F72" s="20">
        <f t="shared" si="17"/>
        <v>273141.9456</v>
      </c>
      <c r="G72" s="20">
        <f t="shared" si="18"/>
        <v>0</v>
      </c>
      <c r="H72" s="20">
        <f t="shared" si="19"/>
        <v>335002.744</v>
      </c>
      <c r="I72" s="20">
        <f t="shared" si="20"/>
        <v>626412.596</v>
      </c>
      <c r="K72" s="20">
        <f t="shared" si="21"/>
        <v>10907129</v>
      </c>
      <c r="L72" s="20">
        <f>SUM(K72:K76)</f>
        <v>67946513</v>
      </c>
    </row>
    <row r="73" spans="1:11">
      <c r="A73" s="20" t="s">
        <v>961</v>
      </c>
      <c r="B73" s="20">
        <f t="shared" si="13"/>
        <v>8475316.443</v>
      </c>
      <c r="C73" s="20">
        <f t="shared" si="14"/>
        <v>0</v>
      </c>
      <c r="D73" s="20">
        <f t="shared" si="15"/>
        <v>758670.305</v>
      </c>
      <c r="E73" s="20">
        <f t="shared" si="16"/>
        <v>1627973.41</v>
      </c>
      <c r="F73" s="20">
        <f t="shared" si="17"/>
        <v>306728.2484</v>
      </c>
      <c r="G73" s="20">
        <f t="shared" si="18"/>
        <v>0</v>
      </c>
      <c r="H73" s="20">
        <f t="shared" si="19"/>
        <v>376195.691</v>
      </c>
      <c r="I73" s="20">
        <f t="shared" si="20"/>
        <v>703439.342</v>
      </c>
      <c r="K73" s="20">
        <f t="shared" si="21"/>
        <v>12248323</v>
      </c>
    </row>
    <row r="74" spans="1:11">
      <c r="A74" s="20" t="s">
        <v>962</v>
      </c>
      <c r="B74" s="20">
        <f t="shared" si="13"/>
        <v>9403197.1308</v>
      </c>
      <c r="C74" s="20">
        <f t="shared" si="14"/>
        <v>0</v>
      </c>
      <c r="D74" s="20">
        <f t="shared" si="15"/>
        <v>841737.4925</v>
      </c>
      <c r="E74" s="20">
        <f t="shared" si="16"/>
        <v>1806219.4</v>
      </c>
      <c r="F74" s="20">
        <f t="shared" si="17"/>
        <v>340310.5536</v>
      </c>
      <c r="G74" s="20">
        <f t="shared" si="18"/>
        <v>0</v>
      </c>
      <c r="H74" s="20">
        <f t="shared" si="19"/>
        <v>417383.664</v>
      </c>
      <c r="I74" s="20">
        <f t="shared" si="20"/>
        <v>780453.166</v>
      </c>
      <c r="K74" s="20">
        <f t="shared" si="21"/>
        <v>13589301</v>
      </c>
    </row>
    <row r="75" spans="1:11">
      <c r="A75" s="20" t="s">
        <v>963</v>
      </c>
      <c r="B75" s="20">
        <f t="shared" si="13"/>
        <v>10331077.8186</v>
      </c>
      <c r="C75" s="20">
        <f t="shared" si="14"/>
        <v>0</v>
      </c>
      <c r="D75" s="20">
        <f t="shared" si="15"/>
        <v>924804.68</v>
      </c>
      <c r="E75" s="20">
        <f t="shared" si="16"/>
        <v>1984472.825</v>
      </c>
      <c r="F75" s="20">
        <f t="shared" si="17"/>
        <v>373892.8588</v>
      </c>
      <c r="G75" s="20">
        <f t="shared" si="18"/>
        <v>0</v>
      </c>
      <c r="H75" s="20">
        <f t="shared" si="19"/>
        <v>458571.637</v>
      </c>
      <c r="I75" s="20">
        <f t="shared" si="20"/>
        <v>857469.964</v>
      </c>
      <c r="K75" s="20">
        <f t="shared" si="21"/>
        <v>14930289</v>
      </c>
    </row>
    <row r="76" spans="1:11">
      <c r="A76" s="20" t="s">
        <v>964</v>
      </c>
      <c r="B76" s="20">
        <f t="shared" si="13"/>
        <v>11259156.3876</v>
      </c>
      <c r="C76" s="20">
        <f t="shared" si="14"/>
        <v>0</v>
      </c>
      <c r="D76" s="20">
        <f t="shared" si="15"/>
        <v>1007871.8675</v>
      </c>
      <c r="E76" s="20">
        <f t="shared" si="16"/>
        <v>2162718.815</v>
      </c>
      <c r="F76" s="20">
        <f t="shared" si="17"/>
        <v>407476.1628</v>
      </c>
      <c r="G76" s="20">
        <f t="shared" si="18"/>
        <v>0</v>
      </c>
      <c r="H76" s="20">
        <f t="shared" si="19"/>
        <v>499761.097</v>
      </c>
      <c r="I76" s="20">
        <f t="shared" si="20"/>
        <v>934486.762</v>
      </c>
      <c r="K76" s="20">
        <f t="shared" si="21"/>
        <v>16271471</v>
      </c>
    </row>
    <row r="77" spans="1:12">
      <c r="A77" s="20" t="s">
        <v>965</v>
      </c>
      <c r="B77" s="20">
        <f t="shared" si="13"/>
        <v>2028959.0328</v>
      </c>
      <c r="C77" s="20">
        <f t="shared" si="14"/>
        <v>0</v>
      </c>
      <c r="D77" s="20">
        <f t="shared" si="15"/>
        <v>0</v>
      </c>
      <c r="E77" s="20">
        <f t="shared" si="16"/>
        <v>13674475.75</v>
      </c>
      <c r="F77" s="20">
        <f t="shared" si="17"/>
        <v>0</v>
      </c>
      <c r="G77" s="20">
        <f t="shared" si="18"/>
        <v>0</v>
      </c>
      <c r="H77" s="20">
        <f t="shared" si="19"/>
        <v>0</v>
      </c>
      <c r="I77" s="20">
        <f t="shared" si="20"/>
        <v>5908579.56</v>
      </c>
      <c r="K77" s="20">
        <f t="shared" si="21"/>
        <v>21612014</v>
      </c>
      <c r="L77" s="20">
        <f t="shared" ref="L77:L79" si="22">K77</f>
        <v>21612014</v>
      </c>
    </row>
    <row r="78" spans="1:12">
      <c r="A78" s="35" t="s">
        <v>966</v>
      </c>
      <c r="B78" s="20">
        <f t="shared" si="13"/>
        <v>370682.0712</v>
      </c>
      <c r="C78" s="20">
        <f t="shared" si="14"/>
        <v>0</v>
      </c>
      <c r="D78" s="20">
        <f t="shared" si="15"/>
        <v>0</v>
      </c>
      <c r="E78" s="20">
        <f t="shared" si="16"/>
        <v>0</v>
      </c>
      <c r="F78" s="20">
        <f t="shared" si="17"/>
        <v>0</v>
      </c>
      <c r="G78" s="20">
        <f t="shared" si="18"/>
        <v>0</v>
      </c>
      <c r="H78" s="20">
        <f t="shared" si="19"/>
        <v>0</v>
      </c>
      <c r="I78" s="20">
        <f t="shared" si="20"/>
        <v>0</v>
      </c>
      <c r="K78" s="20">
        <f t="shared" si="21"/>
        <v>370682</v>
      </c>
      <c r="L78" s="20">
        <f t="shared" si="22"/>
        <v>370682</v>
      </c>
    </row>
    <row r="79" spans="1:12">
      <c r="A79" s="20" t="s">
        <v>967</v>
      </c>
      <c r="B79" s="20">
        <f t="shared" si="13"/>
        <v>13172937.6156</v>
      </c>
      <c r="C79" s="20">
        <f t="shared" si="14"/>
        <v>0</v>
      </c>
      <c r="D79" s="20">
        <f t="shared" si="15"/>
        <v>2766624.8475</v>
      </c>
      <c r="E79" s="20">
        <f t="shared" si="16"/>
        <v>5960667.21</v>
      </c>
      <c r="F79" s="20">
        <f t="shared" si="17"/>
        <v>1083603.1536</v>
      </c>
      <c r="G79" s="20">
        <f t="shared" si="18"/>
        <v>0</v>
      </c>
      <c r="H79" s="20">
        <f t="shared" si="19"/>
        <v>1290000.444</v>
      </c>
      <c r="I79" s="20">
        <f t="shared" si="20"/>
        <v>2575557.624</v>
      </c>
      <c r="K79" s="20">
        <f t="shared" si="21"/>
        <v>26849390</v>
      </c>
      <c r="L79" s="20">
        <f t="shared" si="22"/>
        <v>26849390</v>
      </c>
    </row>
    <row r="80" spans="1:12">
      <c r="A80" s="20" t="s">
        <v>1001</v>
      </c>
      <c r="B80" s="20">
        <f t="shared" si="13"/>
        <v>11124619.1028</v>
      </c>
      <c r="C80" s="20">
        <f t="shared" si="14"/>
        <v>0</v>
      </c>
      <c r="D80" s="20">
        <f t="shared" si="15"/>
        <v>2327833.7725</v>
      </c>
      <c r="E80" s="20">
        <f t="shared" si="16"/>
        <v>7506076.23</v>
      </c>
      <c r="F80" s="20">
        <f t="shared" si="17"/>
        <v>898781.4688</v>
      </c>
      <c r="G80" s="20">
        <f t="shared" si="18"/>
        <v>0</v>
      </c>
      <c r="H80" s="20">
        <f t="shared" si="19"/>
        <v>1082918.792</v>
      </c>
      <c r="I80" s="20">
        <f t="shared" si="20"/>
        <v>3243322.02</v>
      </c>
      <c r="K80" s="20">
        <f t="shared" si="21"/>
        <v>26183551</v>
      </c>
      <c r="L80" s="20">
        <f>SUM(K80:K82)</f>
        <v>28818379</v>
      </c>
    </row>
    <row r="81" spans="1:11">
      <c r="A81" s="20" t="s">
        <v>969</v>
      </c>
      <c r="B81" s="20">
        <f t="shared" si="13"/>
        <v>2634828.1944</v>
      </c>
      <c r="C81" s="20">
        <f t="shared" si="14"/>
        <v>0</v>
      </c>
      <c r="D81" s="20">
        <f t="shared" si="15"/>
        <v>0</v>
      </c>
      <c r="E81" s="20">
        <f t="shared" si="16"/>
        <v>0</v>
      </c>
      <c r="F81" s="20">
        <f t="shared" si="17"/>
        <v>0</v>
      </c>
      <c r="G81" s="20">
        <f t="shared" si="18"/>
        <v>0</v>
      </c>
      <c r="H81" s="20">
        <f t="shared" si="19"/>
        <v>0</v>
      </c>
      <c r="I81" s="20">
        <f t="shared" si="20"/>
        <v>0</v>
      </c>
      <c r="K81" s="20">
        <f t="shared" si="21"/>
        <v>2634828</v>
      </c>
    </row>
    <row r="82" spans="1:11">
      <c r="A82" s="20" t="s">
        <v>970</v>
      </c>
      <c r="B82" s="20">
        <f t="shared" si="13"/>
        <v>0</v>
      </c>
      <c r="C82" s="20">
        <f t="shared" si="14"/>
        <v>0</v>
      </c>
      <c r="D82" s="20">
        <f t="shared" si="15"/>
        <v>0</v>
      </c>
      <c r="E82" s="20">
        <f t="shared" si="16"/>
        <v>0</v>
      </c>
      <c r="F82" s="20">
        <f t="shared" si="17"/>
        <v>0</v>
      </c>
      <c r="G82" s="20">
        <f t="shared" si="18"/>
        <v>0</v>
      </c>
      <c r="H82" s="20">
        <f t="shared" si="19"/>
        <v>0</v>
      </c>
      <c r="I82" s="20">
        <f t="shared" si="20"/>
        <v>0</v>
      </c>
      <c r="K82" s="20">
        <f t="shared" si="21"/>
        <v>0</v>
      </c>
    </row>
    <row r="83" spans="1:12">
      <c r="A83" s="35" t="s">
        <v>971</v>
      </c>
      <c r="B83" s="20">
        <f t="shared" si="13"/>
        <v>1078653.849</v>
      </c>
      <c r="C83" s="20">
        <f t="shared" si="14"/>
        <v>0</v>
      </c>
      <c r="D83" s="20">
        <f t="shared" si="15"/>
        <v>0</v>
      </c>
      <c r="E83" s="20">
        <f t="shared" si="16"/>
        <v>0</v>
      </c>
      <c r="F83" s="20">
        <f t="shared" si="17"/>
        <v>0</v>
      </c>
      <c r="G83" s="20">
        <f t="shared" si="18"/>
        <v>0</v>
      </c>
      <c r="H83" s="20">
        <f t="shared" si="19"/>
        <v>0</v>
      </c>
      <c r="I83" s="20">
        <f t="shared" si="20"/>
        <v>0</v>
      </c>
      <c r="K83" s="20">
        <f t="shared" si="21"/>
        <v>1078653</v>
      </c>
      <c r="L83" s="20">
        <f>SUM(K83:K87)</f>
        <v>13289482</v>
      </c>
    </row>
    <row r="84" spans="1:11">
      <c r="A84" s="35" t="s">
        <v>972</v>
      </c>
      <c r="B84" s="20">
        <f t="shared" si="13"/>
        <v>672087.4704</v>
      </c>
      <c r="C84" s="20">
        <f t="shared" si="14"/>
        <v>0</v>
      </c>
      <c r="D84" s="20">
        <f t="shared" si="15"/>
        <v>0</v>
      </c>
      <c r="E84" s="20">
        <f t="shared" si="16"/>
        <v>1065483.2475</v>
      </c>
      <c r="F84" s="20">
        <f t="shared" si="17"/>
        <v>0</v>
      </c>
      <c r="G84" s="20">
        <f t="shared" si="18"/>
        <v>0</v>
      </c>
      <c r="H84" s="20">
        <f t="shared" si="19"/>
        <v>0</v>
      </c>
      <c r="I84" s="20">
        <f t="shared" si="20"/>
        <v>460384.283</v>
      </c>
      <c r="K84" s="20">
        <f t="shared" si="21"/>
        <v>2197955</v>
      </c>
    </row>
    <row r="85" spans="1:11">
      <c r="A85" s="35" t="s">
        <v>973</v>
      </c>
      <c r="B85" s="20">
        <f t="shared" si="13"/>
        <v>846325.7064</v>
      </c>
      <c r="C85" s="20">
        <f t="shared" si="14"/>
        <v>0</v>
      </c>
      <c r="D85" s="20">
        <f t="shared" si="15"/>
        <v>0</v>
      </c>
      <c r="E85" s="20">
        <f t="shared" si="16"/>
        <v>1341707.305</v>
      </c>
      <c r="F85" s="20">
        <f t="shared" si="17"/>
        <v>0</v>
      </c>
      <c r="G85" s="20">
        <f t="shared" si="18"/>
        <v>0</v>
      </c>
      <c r="H85" s="20">
        <f t="shared" si="19"/>
        <v>0</v>
      </c>
      <c r="I85" s="20">
        <f t="shared" si="20"/>
        <v>579743.644</v>
      </c>
      <c r="K85" s="20">
        <f t="shared" si="21"/>
        <v>2767776</v>
      </c>
    </row>
    <row r="86" spans="1:11">
      <c r="A86" s="35" t="s">
        <v>974</v>
      </c>
      <c r="B86" s="20">
        <f t="shared" si="13"/>
        <v>1020575.9352</v>
      </c>
      <c r="C86" s="20">
        <f t="shared" si="14"/>
        <v>0</v>
      </c>
      <c r="D86" s="20">
        <f t="shared" si="15"/>
        <v>0</v>
      </c>
      <c r="E86" s="20">
        <f t="shared" si="16"/>
        <v>1617947.515</v>
      </c>
      <c r="F86" s="20">
        <f t="shared" si="17"/>
        <v>0</v>
      </c>
      <c r="G86" s="20">
        <f t="shared" si="18"/>
        <v>0</v>
      </c>
      <c r="H86" s="20">
        <f t="shared" si="19"/>
        <v>0</v>
      </c>
      <c r="I86" s="20">
        <f t="shared" si="20"/>
        <v>699105.005</v>
      </c>
      <c r="K86" s="20">
        <f t="shared" si="21"/>
        <v>3337628</v>
      </c>
    </row>
    <row r="87" spans="1:11">
      <c r="A87" s="35" t="s">
        <v>975</v>
      </c>
      <c r="B87" s="20">
        <f t="shared" si="13"/>
        <v>1194823.1676</v>
      </c>
      <c r="C87" s="20">
        <f t="shared" si="14"/>
        <v>0</v>
      </c>
      <c r="D87" s="20">
        <f t="shared" si="15"/>
        <v>0</v>
      </c>
      <c r="E87" s="20">
        <f t="shared" si="16"/>
        <v>1894184.0075</v>
      </c>
      <c r="F87" s="20">
        <f t="shared" si="17"/>
        <v>0</v>
      </c>
      <c r="G87" s="20">
        <f t="shared" si="18"/>
        <v>0</v>
      </c>
      <c r="H87" s="20">
        <f t="shared" si="19"/>
        <v>0</v>
      </c>
      <c r="I87" s="20">
        <f t="shared" si="20"/>
        <v>818462.879</v>
      </c>
      <c r="K87" s="20">
        <f t="shared" si="21"/>
        <v>3907470</v>
      </c>
    </row>
    <row r="88" spans="1:12">
      <c r="A88" s="20" t="s">
        <v>976</v>
      </c>
      <c r="B88" s="20">
        <f t="shared" si="13"/>
        <v>27517955.1588</v>
      </c>
      <c r="C88" s="20">
        <f t="shared" si="14"/>
        <v>0</v>
      </c>
      <c r="D88" s="20">
        <f t="shared" si="15"/>
        <v>3286295.97</v>
      </c>
      <c r="E88" s="20">
        <f t="shared" si="16"/>
        <v>10577711.145</v>
      </c>
      <c r="F88" s="20">
        <f t="shared" si="17"/>
        <v>1259089.9168</v>
      </c>
      <c r="G88" s="20">
        <f t="shared" si="18"/>
        <v>0</v>
      </c>
      <c r="H88" s="20">
        <f t="shared" si="19"/>
        <v>1526006.432</v>
      </c>
      <c r="I88" s="20">
        <f t="shared" si="20"/>
        <v>4570542.66</v>
      </c>
      <c r="K88" s="20">
        <f t="shared" si="21"/>
        <v>48737601</v>
      </c>
      <c r="L88" s="20">
        <f>SUM(K88:K90)</f>
        <v>51316257</v>
      </c>
    </row>
    <row r="89" spans="1:11">
      <c r="A89" s="20" t="s">
        <v>977</v>
      </c>
      <c r="B89" s="20">
        <f t="shared" si="13"/>
        <v>0</v>
      </c>
      <c r="C89" s="20">
        <f t="shared" si="14"/>
        <v>0</v>
      </c>
      <c r="D89" s="20">
        <f t="shared" si="15"/>
        <v>0</v>
      </c>
      <c r="E89" s="20">
        <f t="shared" si="16"/>
        <v>0</v>
      </c>
      <c r="F89" s="20">
        <f t="shared" si="17"/>
        <v>0</v>
      </c>
      <c r="G89" s="20">
        <f t="shared" si="18"/>
        <v>0</v>
      </c>
      <c r="H89" s="20">
        <f t="shared" si="19"/>
        <v>0</v>
      </c>
      <c r="I89" s="20">
        <f t="shared" si="20"/>
        <v>0</v>
      </c>
      <c r="K89" s="20">
        <f t="shared" si="21"/>
        <v>0</v>
      </c>
    </row>
    <row r="90" spans="1:11">
      <c r="A90" s="20" t="s">
        <v>978</v>
      </c>
      <c r="B90" s="20">
        <f t="shared" si="13"/>
        <v>2578656.815</v>
      </c>
      <c r="C90" s="20">
        <f t="shared" si="14"/>
        <v>0</v>
      </c>
      <c r="D90" s="20">
        <f t="shared" si="15"/>
        <v>0</v>
      </c>
      <c r="E90" s="20">
        <f t="shared" si="16"/>
        <v>0</v>
      </c>
      <c r="F90" s="20">
        <f t="shared" si="17"/>
        <v>0</v>
      </c>
      <c r="G90" s="20">
        <f t="shared" si="18"/>
        <v>0</v>
      </c>
      <c r="H90" s="20">
        <f t="shared" si="19"/>
        <v>0</v>
      </c>
      <c r="I90" s="20">
        <f t="shared" si="20"/>
        <v>0</v>
      </c>
      <c r="K90" s="20">
        <f t="shared" si="21"/>
        <v>2578656</v>
      </c>
    </row>
    <row r="91" spans="1:12">
      <c r="A91" s="35" t="s">
        <v>979</v>
      </c>
      <c r="B91" s="20">
        <f t="shared" si="13"/>
        <v>110917.044</v>
      </c>
      <c r="C91" s="20">
        <f t="shared" si="14"/>
        <v>0</v>
      </c>
      <c r="D91" s="20">
        <f t="shared" si="15"/>
        <v>0</v>
      </c>
      <c r="E91" s="20">
        <f t="shared" si="16"/>
        <v>0</v>
      </c>
      <c r="F91" s="20">
        <f t="shared" si="17"/>
        <v>0</v>
      </c>
      <c r="G91" s="20">
        <f t="shared" si="18"/>
        <v>0</v>
      </c>
      <c r="H91" s="20">
        <f t="shared" si="19"/>
        <v>0</v>
      </c>
      <c r="I91" s="20">
        <f t="shared" si="20"/>
        <v>0</v>
      </c>
      <c r="K91" s="20">
        <f t="shared" si="21"/>
        <v>110917</v>
      </c>
      <c r="L91" s="20">
        <f t="shared" ref="L91:L99" si="23">K91</f>
        <v>110917</v>
      </c>
    </row>
    <row r="92" spans="1:12">
      <c r="A92" s="35" t="s">
        <v>364</v>
      </c>
      <c r="B92" s="20">
        <f t="shared" si="13"/>
        <v>0</v>
      </c>
      <c r="C92" s="20">
        <f t="shared" si="14"/>
        <v>0</v>
      </c>
      <c r="D92" s="20">
        <f t="shared" si="15"/>
        <v>0</v>
      </c>
      <c r="E92" s="20">
        <f t="shared" si="16"/>
        <v>0</v>
      </c>
      <c r="F92" s="20">
        <f t="shared" si="17"/>
        <v>0</v>
      </c>
      <c r="G92" s="20">
        <f t="shared" si="18"/>
        <v>0</v>
      </c>
      <c r="H92" s="20">
        <f t="shared" si="19"/>
        <v>0</v>
      </c>
      <c r="I92" s="20">
        <f t="shared" si="20"/>
        <v>0</v>
      </c>
      <c r="K92" s="20">
        <f t="shared" si="21"/>
        <v>0</v>
      </c>
      <c r="L92" s="20">
        <f t="shared" si="23"/>
        <v>0</v>
      </c>
    </row>
    <row r="93" spans="1:12">
      <c r="A93" s="35" t="s">
        <v>980</v>
      </c>
      <c r="B93" s="20">
        <f t="shared" si="13"/>
        <v>405436.3616</v>
      </c>
      <c r="C93" s="20">
        <f t="shared" si="14"/>
        <v>0</v>
      </c>
      <c r="D93" s="20">
        <f t="shared" si="15"/>
        <v>0</v>
      </c>
      <c r="E93" s="20">
        <f t="shared" si="16"/>
        <v>240914.53</v>
      </c>
      <c r="F93" s="20">
        <f t="shared" si="17"/>
        <v>86033.1704</v>
      </c>
      <c r="G93" s="20">
        <f t="shared" si="18"/>
        <v>0</v>
      </c>
      <c r="H93" s="20">
        <f t="shared" si="19"/>
        <v>0</v>
      </c>
      <c r="I93" s="20">
        <f t="shared" si="20"/>
        <v>0</v>
      </c>
      <c r="K93" s="20">
        <f t="shared" si="21"/>
        <v>732384</v>
      </c>
      <c r="L93" s="20">
        <f t="shared" si="23"/>
        <v>732384</v>
      </c>
    </row>
    <row r="94" spans="1:12">
      <c r="A94" s="35" t="s">
        <v>981</v>
      </c>
      <c r="B94" s="20">
        <f t="shared" si="13"/>
        <v>637430.1416</v>
      </c>
      <c r="C94" s="20">
        <f t="shared" si="14"/>
        <v>0</v>
      </c>
      <c r="D94" s="20">
        <f t="shared" si="15"/>
        <v>0</v>
      </c>
      <c r="E94" s="20">
        <f t="shared" si="16"/>
        <v>173237.286</v>
      </c>
      <c r="F94" s="20">
        <f t="shared" si="17"/>
        <v>0</v>
      </c>
      <c r="G94" s="20">
        <f t="shared" si="18"/>
        <v>0</v>
      </c>
      <c r="H94" s="20">
        <f t="shared" si="19"/>
        <v>0</v>
      </c>
      <c r="I94" s="20">
        <f t="shared" si="20"/>
        <v>0</v>
      </c>
      <c r="K94" s="20">
        <f t="shared" si="21"/>
        <v>810667</v>
      </c>
      <c r="L94" s="20">
        <f t="shared" si="23"/>
        <v>810667</v>
      </c>
    </row>
    <row r="95" spans="1:12">
      <c r="A95" s="35" t="s">
        <v>72</v>
      </c>
      <c r="B95" s="20">
        <f t="shared" si="13"/>
        <v>0</v>
      </c>
      <c r="C95" s="20">
        <f t="shared" si="14"/>
        <v>0</v>
      </c>
      <c r="D95" s="20">
        <f t="shared" si="15"/>
        <v>0</v>
      </c>
      <c r="E95" s="20">
        <f t="shared" si="16"/>
        <v>0</v>
      </c>
      <c r="F95" s="20">
        <f t="shared" si="17"/>
        <v>0</v>
      </c>
      <c r="G95" s="20">
        <f t="shared" si="18"/>
        <v>0</v>
      </c>
      <c r="H95" s="20">
        <f t="shared" si="19"/>
        <v>0</v>
      </c>
      <c r="I95" s="20">
        <f t="shared" si="20"/>
        <v>0</v>
      </c>
      <c r="K95" s="20">
        <f t="shared" si="21"/>
        <v>0</v>
      </c>
      <c r="L95" s="20">
        <f t="shared" si="23"/>
        <v>0</v>
      </c>
    </row>
    <row r="96" spans="1:12">
      <c r="A96" s="35" t="s">
        <v>70</v>
      </c>
      <c r="B96" s="20">
        <f t="shared" si="13"/>
        <v>0</v>
      </c>
      <c r="C96" s="20">
        <f t="shared" si="14"/>
        <v>0</v>
      </c>
      <c r="D96" s="20">
        <f t="shared" si="15"/>
        <v>0</v>
      </c>
      <c r="E96" s="20">
        <f t="shared" si="16"/>
        <v>0</v>
      </c>
      <c r="F96" s="20">
        <f t="shared" si="17"/>
        <v>0</v>
      </c>
      <c r="G96" s="20">
        <f t="shared" si="18"/>
        <v>0</v>
      </c>
      <c r="H96" s="20">
        <f t="shared" si="19"/>
        <v>0</v>
      </c>
      <c r="I96" s="20">
        <f t="shared" si="20"/>
        <v>0</v>
      </c>
      <c r="K96" s="20">
        <f t="shared" si="21"/>
        <v>0</v>
      </c>
      <c r="L96" s="20">
        <f t="shared" si="23"/>
        <v>0</v>
      </c>
    </row>
    <row r="97" spans="1:12">
      <c r="A97" s="35" t="s">
        <v>982</v>
      </c>
      <c r="B97" s="20">
        <f t="shared" si="13"/>
        <v>0</v>
      </c>
      <c r="C97" s="20">
        <f t="shared" si="14"/>
        <v>0</v>
      </c>
      <c r="D97" s="20">
        <f t="shared" si="15"/>
        <v>0</v>
      </c>
      <c r="E97" s="20">
        <f t="shared" si="16"/>
        <v>0</v>
      </c>
      <c r="F97" s="20">
        <f t="shared" si="17"/>
        <v>0</v>
      </c>
      <c r="G97" s="20">
        <f t="shared" si="18"/>
        <v>0</v>
      </c>
      <c r="H97" s="20">
        <f t="shared" si="19"/>
        <v>0</v>
      </c>
      <c r="I97" s="20">
        <f t="shared" si="20"/>
        <v>0</v>
      </c>
      <c r="K97" s="20">
        <f t="shared" si="21"/>
        <v>0</v>
      </c>
      <c r="L97" s="20">
        <f t="shared" si="23"/>
        <v>0</v>
      </c>
    </row>
    <row r="98" spans="1:12">
      <c r="A98" s="20" t="s">
        <v>983</v>
      </c>
      <c r="B98" s="20">
        <f t="shared" si="13"/>
        <v>0</v>
      </c>
      <c r="C98" s="20">
        <f t="shared" si="14"/>
        <v>0</v>
      </c>
      <c r="D98" s="20">
        <f t="shared" si="15"/>
        <v>0</v>
      </c>
      <c r="E98" s="20">
        <f t="shared" si="16"/>
        <v>0</v>
      </c>
      <c r="F98" s="20">
        <f t="shared" si="17"/>
        <v>0</v>
      </c>
      <c r="G98" s="20">
        <f t="shared" si="18"/>
        <v>0</v>
      </c>
      <c r="H98" s="20">
        <f t="shared" si="19"/>
        <v>0</v>
      </c>
      <c r="I98" s="20">
        <f t="shared" si="20"/>
        <v>0</v>
      </c>
      <c r="K98" s="20">
        <f t="shared" si="21"/>
        <v>0</v>
      </c>
      <c r="L98" s="20">
        <f t="shared" si="23"/>
        <v>0</v>
      </c>
    </row>
    <row r="99" spans="1:12">
      <c r="A99" s="35" t="s">
        <v>984</v>
      </c>
      <c r="B99" s="20">
        <f t="shared" si="13"/>
        <v>0</v>
      </c>
      <c r="C99" s="20">
        <f t="shared" si="14"/>
        <v>0</v>
      </c>
      <c r="D99" s="20">
        <f t="shared" si="15"/>
        <v>0</v>
      </c>
      <c r="E99" s="20">
        <f t="shared" si="16"/>
        <v>0</v>
      </c>
      <c r="F99" s="20">
        <f t="shared" si="17"/>
        <v>0</v>
      </c>
      <c r="G99" s="20">
        <f t="shared" si="18"/>
        <v>0</v>
      </c>
      <c r="H99" s="20">
        <f t="shared" si="19"/>
        <v>0</v>
      </c>
      <c r="I99" s="20">
        <f t="shared" si="20"/>
        <v>0</v>
      </c>
      <c r="K99" s="20">
        <f t="shared" si="21"/>
        <v>0</v>
      </c>
      <c r="L99" s="20">
        <f t="shared" si="23"/>
        <v>0</v>
      </c>
    </row>
    <row r="100" spans="1:9">
      <c r="A100" s="20" t="s">
        <v>985</v>
      </c>
      <c r="B100" s="20">
        <f t="shared" si="13"/>
        <v>0</v>
      </c>
      <c r="C100" s="20">
        <f t="shared" si="14"/>
        <v>0</v>
      </c>
      <c r="D100" s="20">
        <f t="shared" si="15"/>
        <v>0</v>
      </c>
      <c r="E100" s="20">
        <f t="shared" si="16"/>
        <v>0</v>
      </c>
      <c r="F100" s="20">
        <f t="shared" si="17"/>
        <v>0</v>
      </c>
      <c r="G100" s="20">
        <f t="shared" si="18"/>
        <v>0</v>
      </c>
      <c r="H100" s="20">
        <f t="shared" si="19"/>
        <v>0</v>
      </c>
      <c r="I100" s="20">
        <f t="shared" si="20"/>
        <v>0</v>
      </c>
    </row>
    <row r="101" spans="9:9">
      <c r="I101" s="20">
        <f>INT(SUM(B71:I100)+(SUM(B71:I100)*8/35*1%*30%+SUM(B71:I100)*8/35*5%*70%)*额外增益统计!D168)</f>
        <v>218290466</v>
      </c>
    </row>
  </sheetData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1"/>
  <sheetViews>
    <sheetView workbookViewId="0">
      <pane xSplit="1" ySplit="1" topLeftCell="B26" activePane="bottomRight" state="frozen"/>
      <selection/>
      <selection pane="topRight"/>
      <selection pane="bottomLeft"/>
      <selection pane="bottomRight" activeCell="B55" sqref="B55"/>
    </sheetView>
  </sheetViews>
  <sheetFormatPr defaultColWidth="9.64166666666667" defaultRowHeight="13.5"/>
  <cols>
    <col min="1" max="1" width="17.25" style="20" customWidth="1"/>
    <col min="2" max="6" width="12.625" style="20"/>
    <col min="7" max="7" width="11.375" style="20" customWidth="1"/>
    <col min="8" max="8" width="9.75" style="20" customWidth="1"/>
    <col min="9" max="9" width="12.875" style="20" customWidth="1"/>
    <col min="10" max="10" width="11.25" style="20" customWidth="1"/>
    <col min="11" max="11" width="12.875" style="20" customWidth="1"/>
    <col min="12" max="12" width="10" style="20" customWidth="1"/>
    <col min="13" max="13" width="14.25" style="20" customWidth="1"/>
    <col min="14" max="14" width="8.875" style="20" customWidth="1"/>
    <col min="15" max="15" width="11.125" style="20" customWidth="1"/>
    <col min="16" max="19" width="12.875" style="20" customWidth="1"/>
    <col min="20" max="20" width="15" style="20" customWidth="1"/>
    <col min="21" max="21" width="12.875" style="20" customWidth="1"/>
    <col min="22" max="27" width="12.625" style="20"/>
    <col min="28" max="28" width="17.125" style="20" customWidth="1"/>
    <col min="29" max="30" width="12.625" style="20"/>
    <col min="31" max="31" width="19.125" style="20" customWidth="1"/>
    <col min="32" max="32" width="13.125" style="20" customWidth="1"/>
    <col min="33" max="33" width="16.25" style="20" customWidth="1"/>
    <col min="34" max="34" width="22.25" style="20" customWidth="1"/>
    <col min="35" max="37" width="12.875" style="20" customWidth="1"/>
    <col min="38" max="38" width="17.125" style="20" customWidth="1"/>
    <col min="39" max="39" width="21.5" style="20" customWidth="1"/>
    <col min="40" max="40" width="11" style="20" customWidth="1"/>
    <col min="41" max="41" width="9" style="20" customWidth="1"/>
    <col min="42" max="16384" width="9.64166666666667" style="20"/>
  </cols>
  <sheetData>
    <row r="1" spans="2:40">
      <c r="B1" s="20" t="s">
        <v>924</v>
      </c>
      <c r="C1" s="20" t="s">
        <v>925</v>
      </c>
      <c r="D1" s="20" t="s">
        <v>25</v>
      </c>
      <c r="E1" s="20" t="s">
        <v>926</v>
      </c>
      <c r="F1" s="20" t="s">
        <v>927</v>
      </c>
      <c r="G1" s="20" t="s">
        <v>928</v>
      </c>
      <c r="H1" s="20" t="s">
        <v>929</v>
      </c>
      <c r="I1" s="20" t="s">
        <v>930</v>
      </c>
      <c r="J1" s="20" t="s">
        <v>931</v>
      </c>
      <c r="K1" s="20" t="s">
        <v>932</v>
      </c>
      <c r="L1" s="20" t="s">
        <v>933</v>
      </c>
      <c r="M1" s="20" t="s">
        <v>38</v>
      </c>
      <c r="N1" s="20" t="s">
        <v>934</v>
      </c>
      <c r="O1" s="20" t="s">
        <v>28</v>
      </c>
      <c r="P1" s="20" t="s">
        <v>935</v>
      </c>
      <c r="Q1" s="20" t="s">
        <v>936</v>
      </c>
      <c r="R1" s="20" t="s">
        <v>937</v>
      </c>
      <c r="S1" s="20" t="s">
        <v>938</v>
      </c>
      <c r="T1" s="20" t="s">
        <v>32</v>
      </c>
      <c r="U1" s="20" t="s">
        <v>939</v>
      </c>
      <c r="V1" s="20" t="s">
        <v>940</v>
      </c>
      <c r="W1" s="20" t="s">
        <v>941</v>
      </c>
      <c r="X1" s="20" t="s">
        <v>942</v>
      </c>
      <c r="Y1" s="20" t="s">
        <v>943</v>
      </c>
      <c r="Z1" s="20" t="s">
        <v>944</v>
      </c>
      <c r="AA1" s="20" t="s">
        <v>945</v>
      </c>
      <c r="AB1" s="20" t="s">
        <v>946</v>
      </c>
      <c r="AC1" s="20" t="s">
        <v>947</v>
      </c>
      <c r="AD1" s="20" t="s">
        <v>948</v>
      </c>
      <c r="AE1" s="20" t="s">
        <v>949</v>
      </c>
      <c r="AF1" s="20" t="s">
        <v>950</v>
      </c>
      <c r="AG1" s="20" t="s">
        <v>951</v>
      </c>
      <c r="AH1" s="20" t="s">
        <v>952</v>
      </c>
      <c r="AI1" s="20" t="s">
        <v>953</v>
      </c>
      <c r="AJ1" s="20" t="s">
        <v>954</v>
      </c>
      <c r="AK1" s="20" t="s">
        <v>955</v>
      </c>
      <c r="AL1" s="20" t="s">
        <v>956</v>
      </c>
      <c r="AM1" s="20" t="s">
        <v>957</v>
      </c>
      <c r="AN1" s="20" t="s">
        <v>958</v>
      </c>
    </row>
    <row r="2" spans="1:40">
      <c r="A2" s="20" t="str">
        <f>'伤害统计(理想)'!A2</f>
        <v>万世二段</v>
      </c>
      <c r="B2" s="20">
        <f>'伤害统计(理想)'!B2</f>
        <v>1189</v>
      </c>
      <c r="C2" s="20">
        <f>'伤害统计(理想)'!C2</f>
        <v>34400</v>
      </c>
      <c r="D2" s="20">
        <f>'伤害统计(理想)'!D2</f>
        <v>45792</v>
      </c>
      <c r="E2" s="20">
        <f>'伤害统计(理想)'!E2</f>
        <v>2.4325</v>
      </c>
      <c r="F2" s="20">
        <f>'伤害统计(理想)'!F2</f>
        <v>1</v>
      </c>
      <c r="G2" s="20">
        <f>'伤害统计(理想)'!G2</f>
        <v>0.12</v>
      </c>
      <c r="H2" s="20">
        <f>'伤害统计(理想)'!H2</f>
        <v>0.1</v>
      </c>
      <c r="I2" s="20">
        <f>'伤害统计(理想)'!I2</f>
        <v>1.35</v>
      </c>
      <c r="J2" s="20">
        <f>'伤害统计(理想)'!J2</f>
        <v>0.472</v>
      </c>
      <c r="K2" s="20">
        <f>'伤害统计(理想)'!K2</f>
        <v>0.1181</v>
      </c>
      <c r="L2" s="20">
        <f>'伤害统计(理想)'!L2</f>
        <v>0.177214436704937</v>
      </c>
      <c r="M2" s="20">
        <f>'伤害统计(理想)'!M2</f>
        <v>0.3473</v>
      </c>
      <c r="N2" s="20">
        <f>'伤害统计(理想)'!N2</f>
        <v>0.2</v>
      </c>
      <c r="O2" s="20">
        <f>'伤害统计(理想)'!O2</f>
        <v>0.4994</v>
      </c>
      <c r="P2" s="27">
        <f>'伤害统计(理想)'!P2-0.05</f>
        <v>-0.05</v>
      </c>
      <c r="Q2" s="27">
        <f t="shared" ref="Q2:Q29" si="0">MIN(O2+P2,1)</f>
        <v>0.4494</v>
      </c>
      <c r="R2" s="20">
        <v>0.2441</v>
      </c>
      <c r="S2" s="27">
        <f t="shared" ref="S2:S31" si="1">MIN(Q2+R2,1)</f>
        <v>0.6935</v>
      </c>
      <c r="T2" s="27">
        <f>属性计算面板!B5</f>
        <v>2.0895</v>
      </c>
      <c r="U2" s="27">
        <f>0.1*按提示输入属性!D63</f>
        <v>0</v>
      </c>
      <c r="V2" s="20">
        <f t="shared" ref="V2:V30" si="2">MIN(T2+U2,3)</f>
        <v>2.0895</v>
      </c>
      <c r="W2" s="20">
        <v>0.2441</v>
      </c>
      <c r="X2" s="20">
        <f t="shared" ref="X2:X30" si="3">MIN(V2+W2,3)</f>
        <v>2.3336</v>
      </c>
      <c r="Y2" s="20">
        <f>'伤害统计(理想)'!Y2</f>
        <v>0.2441</v>
      </c>
      <c r="Z2" s="20">
        <f t="shared" ref="Z2:Z30" si="4">MIN(V2+Y2,3)</f>
        <v>2.3336</v>
      </c>
      <c r="AA2" s="20">
        <v>0.1953</v>
      </c>
      <c r="AB2" s="20">
        <f t="shared" ref="AB2:AB30" si="5">MIN(Z2+AA2,3)</f>
        <v>2.5289</v>
      </c>
      <c r="AC2" s="20">
        <f t="shared" ref="AC2:AC31" si="6">INT(INT(B2+D2*E2)*F2*(1+G2+H2)*(1+I2)*(1+J2)*(1-L2)*(1+M2)*(1-N2))</f>
        <v>421337</v>
      </c>
      <c r="AD2" s="20">
        <f t="shared" ref="AD2:AD31" si="7">INT((B2+(D2+C2*50%)*E2)*F2*(1+G2+H2)*(1+I2)*(1+J2)*(1-L2)*(1+M2)*(1-N2))</f>
        <v>577925</v>
      </c>
      <c r="AE2" s="20">
        <f t="shared" ref="AE2:AE31" si="8">INT((B2+(D2+C2*50%)*E2)*F2*(1+G2+H2)*(1+I2)*(1+J2+K2)*(1-L2)*(1+M2)*(1-N2))</f>
        <v>624292</v>
      </c>
      <c r="AF2" s="20">
        <f t="shared" ref="AF2:AF31" si="9">INT(AC2*V2)</f>
        <v>880383</v>
      </c>
      <c r="AG2" s="20">
        <f t="shared" ref="AG2:AG31" si="10">INT(AD2*Z2)</f>
        <v>1348645</v>
      </c>
      <c r="AH2" s="20">
        <f>INT(AE2*Z2)</f>
        <v>1456847</v>
      </c>
      <c r="AI2" s="20">
        <f t="shared" ref="AI2:AI31" si="11">INT((B2+(D2+C2*25%)*E2)*F2*(1+G2+H2)*(1+I2)*(1+J2)*(1-L2)*(1+M2)*(1-N2))</f>
        <v>499631</v>
      </c>
      <c r="AJ2" s="20">
        <f t="shared" ref="AJ2:AJ31" si="12">INT(AI2*X2)</f>
        <v>1165938</v>
      </c>
      <c r="AK2" s="20">
        <f t="shared" ref="AK2:AK31" si="13">INT((B2+(D2+C2*25%)*E2)*F2*(1+G2+H2)*(1+I2)*(1+J2+K2)*(1-L2)*(1+M2)*(1-N2))</f>
        <v>539717</v>
      </c>
      <c r="AL2" s="20">
        <f t="shared" ref="AL2:AL31" si="14">INT(AK2*X2)</f>
        <v>1259483</v>
      </c>
      <c r="AM2" s="20">
        <f t="shared" ref="AM2:AM31" si="15">INT(AD2*AB2)</f>
        <v>1461514</v>
      </c>
      <c r="AN2" s="20">
        <f t="shared" ref="AN2:AN31" si="16">INT(AE2*AB2)</f>
        <v>1578772</v>
      </c>
    </row>
    <row r="3" spans="1:40">
      <c r="A3" s="20" t="str">
        <f>'伤害统计(理想)'!A3</f>
        <v>飞剑1</v>
      </c>
      <c r="B3" s="20">
        <f>'伤害统计(理想)'!B3</f>
        <v>50</v>
      </c>
      <c r="C3" s="20">
        <f>'伤害统计(理想)'!C3</f>
        <v>34400</v>
      </c>
      <c r="D3" s="20">
        <f>'伤害统计(理想)'!D3</f>
        <v>45792</v>
      </c>
      <c r="E3" s="20">
        <f>'伤害统计(理想)'!E3</f>
        <v>0.286996875</v>
      </c>
      <c r="F3" s="20">
        <f>'伤害统计(理想)'!F3</f>
        <v>1</v>
      </c>
      <c r="G3" s="20">
        <f>'伤害统计(理想)'!G3</f>
        <v>0.12</v>
      </c>
      <c r="H3" s="20">
        <f>'伤害统计(理想)'!H3</f>
        <v>0.1</v>
      </c>
      <c r="I3" s="20">
        <f>'伤害统计(理想)'!I3</f>
        <v>1.35</v>
      </c>
      <c r="J3" s="20">
        <f>'伤害统计(理想)'!J3</f>
        <v>0.472</v>
      </c>
      <c r="K3" s="20">
        <f>'伤害统计(理想)'!K3</f>
        <v>0.1181</v>
      </c>
      <c r="L3" s="20">
        <f>'伤害统计(理想)'!L3</f>
        <v>0.177214436704937</v>
      </c>
      <c r="M3" s="20">
        <f>'伤害统计(理想)'!M3</f>
        <v>0.3473</v>
      </c>
      <c r="N3" s="20">
        <f>'伤害统计(理想)'!N3</f>
        <v>0.2</v>
      </c>
      <c r="O3" s="20">
        <f>'伤害统计(理想)'!O3</f>
        <v>0.4994</v>
      </c>
      <c r="P3" s="27">
        <f>'伤害统计(理想)'!P3-0.05</f>
        <v>-0.05</v>
      </c>
      <c r="Q3" s="27">
        <f t="shared" si="0"/>
        <v>0.4494</v>
      </c>
      <c r="R3" s="27">
        <f>R2</f>
        <v>0.2441</v>
      </c>
      <c r="S3" s="27">
        <f t="shared" si="1"/>
        <v>0.6935</v>
      </c>
      <c r="T3" s="27">
        <f>属性计算面板!B5</f>
        <v>2.0895</v>
      </c>
      <c r="U3" s="27">
        <f>0.1*按提示输入属性!D63</f>
        <v>0</v>
      </c>
      <c r="V3" s="20">
        <f t="shared" si="2"/>
        <v>2.0895</v>
      </c>
      <c r="W3" s="20">
        <f t="shared" ref="W3:AA3" si="17">W2</f>
        <v>0.2441</v>
      </c>
      <c r="X3" s="20">
        <f t="shared" si="3"/>
        <v>2.3336</v>
      </c>
      <c r="Y3" s="20">
        <f t="shared" si="17"/>
        <v>0.2441</v>
      </c>
      <c r="Z3" s="20">
        <f t="shared" si="4"/>
        <v>2.3336</v>
      </c>
      <c r="AA3" s="20">
        <f t="shared" si="17"/>
        <v>0.1953</v>
      </c>
      <c r="AB3" s="20">
        <f t="shared" si="5"/>
        <v>2.5289</v>
      </c>
      <c r="AC3" s="20">
        <f t="shared" si="6"/>
        <v>49372</v>
      </c>
      <c r="AD3" s="20">
        <f t="shared" si="7"/>
        <v>67848</v>
      </c>
      <c r="AE3" s="20">
        <f t="shared" si="8"/>
        <v>73291</v>
      </c>
      <c r="AF3" s="20">
        <f t="shared" si="9"/>
        <v>103162</v>
      </c>
      <c r="AG3" s="20">
        <f t="shared" si="10"/>
        <v>158330</v>
      </c>
      <c r="AH3" s="20">
        <f>INT(AE3*(T3+U3+0.4441+按提示输入属性!D64*0.1953))</f>
        <v>200003</v>
      </c>
      <c r="AI3" s="20">
        <f t="shared" si="11"/>
        <v>58610</v>
      </c>
      <c r="AJ3" s="20">
        <f t="shared" si="12"/>
        <v>136772</v>
      </c>
      <c r="AK3" s="20">
        <f t="shared" si="13"/>
        <v>63313</v>
      </c>
      <c r="AL3" s="20">
        <f t="shared" si="14"/>
        <v>147747</v>
      </c>
      <c r="AM3" s="20">
        <f t="shared" si="15"/>
        <v>171580</v>
      </c>
      <c r="AN3" s="20">
        <f t="shared" si="16"/>
        <v>185345</v>
      </c>
    </row>
    <row r="4" spans="1:40">
      <c r="A4" s="20" t="str">
        <f>'伤害统计(理想)'!A4</f>
        <v>飞剑2</v>
      </c>
      <c r="B4" s="20">
        <f>'伤害统计(理想)'!B4</f>
        <v>50</v>
      </c>
      <c r="C4" s="20">
        <f>'伤害统计(理想)'!C4</f>
        <v>34400</v>
      </c>
      <c r="D4" s="20">
        <f>'伤害统计(理想)'!D4</f>
        <v>45792</v>
      </c>
      <c r="E4" s="20">
        <f>'伤害统计(理想)'!E4</f>
        <v>0.286996875</v>
      </c>
      <c r="F4" s="20">
        <f>'伤害统计(理想)'!F4</f>
        <v>1</v>
      </c>
      <c r="G4" s="20">
        <f>'伤害统计(理想)'!G4</f>
        <v>0.12</v>
      </c>
      <c r="H4" s="20">
        <f>'伤害统计(理想)'!H4</f>
        <v>0.25</v>
      </c>
      <c r="I4" s="20">
        <f>'伤害统计(理想)'!I4</f>
        <v>1.35</v>
      </c>
      <c r="J4" s="20">
        <f>'伤害统计(理想)'!J4</f>
        <v>0.472</v>
      </c>
      <c r="K4" s="20">
        <f>'伤害统计(理想)'!K4</f>
        <v>0.1181</v>
      </c>
      <c r="L4" s="20">
        <f>'伤害统计(理想)'!L4</f>
        <v>0.177214436704937</v>
      </c>
      <c r="M4" s="20">
        <f>'伤害统计(理想)'!M4</f>
        <v>0.3473</v>
      </c>
      <c r="N4" s="20">
        <f>'伤害统计(理想)'!N4</f>
        <v>0.2</v>
      </c>
      <c r="O4" s="20">
        <f>'伤害统计(理想)'!O4</f>
        <v>0.4994</v>
      </c>
      <c r="P4" s="27">
        <f>'伤害统计(理想)'!P4-0.05</f>
        <v>-0.05</v>
      </c>
      <c r="Q4" s="27">
        <f t="shared" si="0"/>
        <v>0.4494</v>
      </c>
      <c r="R4" s="27">
        <f>R2</f>
        <v>0.2441</v>
      </c>
      <c r="S4" s="27">
        <f t="shared" si="1"/>
        <v>0.6935</v>
      </c>
      <c r="T4" s="27">
        <f>属性计算面板!B5</f>
        <v>2.0895</v>
      </c>
      <c r="U4" s="27">
        <f>0.1*按提示输入属性!D63</f>
        <v>0</v>
      </c>
      <c r="V4" s="20">
        <f t="shared" si="2"/>
        <v>2.0895</v>
      </c>
      <c r="W4" s="20">
        <f t="shared" ref="W4:AA4" si="18">W2</f>
        <v>0.2441</v>
      </c>
      <c r="X4" s="20">
        <f t="shared" si="3"/>
        <v>2.3336</v>
      </c>
      <c r="Y4" s="20">
        <f t="shared" si="18"/>
        <v>0.2441</v>
      </c>
      <c r="Z4" s="20">
        <f t="shared" si="4"/>
        <v>2.3336</v>
      </c>
      <c r="AA4" s="20">
        <f t="shared" si="18"/>
        <v>0.1953</v>
      </c>
      <c r="AB4" s="20">
        <f t="shared" si="5"/>
        <v>2.5289</v>
      </c>
      <c r="AC4" s="20">
        <f t="shared" si="6"/>
        <v>55443</v>
      </c>
      <c r="AD4" s="20">
        <f t="shared" si="7"/>
        <v>76190</v>
      </c>
      <c r="AE4" s="20">
        <f t="shared" si="8"/>
        <v>82303</v>
      </c>
      <c r="AF4" s="20">
        <f t="shared" si="9"/>
        <v>115848</v>
      </c>
      <c r="AG4" s="20">
        <f t="shared" si="10"/>
        <v>177796</v>
      </c>
      <c r="AH4" s="20">
        <f>INT(AE4*(T4+U4+0.4441+按提示输入属性!D64*0.1953))</f>
        <v>224596</v>
      </c>
      <c r="AI4" s="20">
        <f t="shared" si="11"/>
        <v>65817</v>
      </c>
      <c r="AJ4" s="20">
        <f t="shared" si="12"/>
        <v>153590</v>
      </c>
      <c r="AK4" s="20">
        <f t="shared" si="13"/>
        <v>71097</v>
      </c>
      <c r="AL4" s="20">
        <f t="shared" si="14"/>
        <v>165911</v>
      </c>
      <c r="AM4" s="20">
        <f t="shared" si="15"/>
        <v>192676</v>
      </c>
      <c r="AN4" s="20">
        <f t="shared" si="16"/>
        <v>208136</v>
      </c>
    </row>
    <row r="5" spans="1:40">
      <c r="A5" s="20" t="str">
        <f>'伤害统计(理想)'!A5</f>
        <v>飞剑3</v>
      </c>
      <c r="B5" s="20">
        <f>'伤害统计(理想)'!B5</f>
        <v>50</v>
      </c>
      <c r="C5" s="20">
        <f>'伤害统计(理想)'!C5</f>
        <v>34400</v>
      </c>
      <c r="D5" s="20">
        <f>'伤害统计(理想)'!D5</f>
        <v>45792</v>
      </c>
      <c r="E5" s="20">
        <f>'伤害统计(理想)'!E5</f>
        <v>0.286996875</v>
      </c>
      <c r="F5" s="20">
        <f>'伤害统计(理想)'!F5</f>
        <v>1</v>
      </c>
      <c r="G5" s="20">
        <f>'伤害统计(理想)'!G5</f>
        <v>0.12</v>
      </c>
      <c r="H5" s="20">
        <f>'伤害统计(理想)'!H5</f>
        <v>0.4</v>
      </c>
      <c r="I5" s="20">
        <f>'伤害统计(理想)'!I5</f>
        <v>1.35</v>
      </c>
      <c r="J5" s="20">
        <f>'伤害统计(理想)'!J5</f>
        <v>0.472</v>
      </c>
      <c r="K5" s="20">
        <f>'伤害统计(理想)'!K5</f>
        <v>0.1181</v>
      </c>
      <c r="L5" s="20">
        <f>'伤害统计(理想)'!L5</f>
        <v>0.177214436704937</v>
      </c>
      <c r="M5" s="20">
        <f>'伤害统计(理想)'!M5</f>
        <v>0.3473</v>
      </c>
      <c r="N5" s="20">
        <f>'伤害统计(理想)'!N5</f>
        <v>0.2</v>
      </c>
      <c r="O5" s="20">
        <f>'伤害统计(理想)'!O5</f>
        <v>0.4994</v>
      </c>
      <c r="P5" s="27">
        <f>'伤害统计(理想)'!P5-0.05</f>
        <v>-0.05</v>
      </c>
      <c r="Q5" s="27">
        <f t="shared" si="0"/>
        <v>0.4494</v>
      </c>
      <c r="R5" s="27">
        <f>R2</f>
        <v>0.2441</v>
      </c>
      <c r="S5" s="27">
        <f t="shared" si="1"/>
        <v>0.6935</v>
      </c>
      <c r="T5" s="27">
        <f>属性计算面板!B5</f>
        <v>2.0895</v>
      </c>
      <c r="U5" s="27">
        <f>0.1*按提示输入属性!D63</f>
        <v>0</v>
      </c>
      <c r="V5" s="20">
        <f t="shared" si="2"/>
        <v>2.0895</v>
      </c>
      <c r="W5" s="20">
        <f t="shared" ref="W5:AA5" si="19">W2</f>
        <v>0.2441</v>
      </c>
      <c r="X5" s="20">
        <f t="shared" si="3"/>
        <v>2.3336</v>
      </c>
      <c r="Y5" s="20">
        <f t="shared" si="19"/>
        <v>0.2441</v>
      </c>
      <c r="Z5" s="20">
        <f t="shared" si="4"/>
        <v>2.3336</v>
      </c>
      <c r="AA5" s="20">
        <f t="shared" si="19"/>
        <v>0.1953</v>
      </c>
      <c r="AB5" s="20">
        <f t="shared" si="5"/>
        <v>2.5289</v>
      </c>
      <c r="AC5" s="20">
        <f t="shared" si="6"/>
        <v>61513</v>
      </c>
      <c r="AD5" s="20">
        <f t="shared" si="7"/>
        <v>84532</v>
      </c>
      <c r="AE5" s="20">
        <f t="shared" si="8"/>
        <v>91314</v>
      </c>
      <c r="AF5" s="20">
        <f t="shared" si="9"/>
        <v>128531</v>
      </c>
      <c r="AG5" s="20">
        <f t="shared" si="10"/>
        <v>197263</v>
      </c>
      <c r="AH5" s="20">
        <f>INT(AE5*(T5+U5+0.4441+按提示输入属性!D64*0.1953))</f>
        <v>249186</v>
      </c>
      <c r="AI5" s="20">
        <f t="shared" si="11"/>
        <v>73023</v>
      </c>
      <c r="AJ5" s="20">
        <f t="shared" si="12"/>
        <v>170406</v>
      </c>
      <c r="AK5" s="20">
        <f t="shared" si="13"/>
        <v>78881</v>
      </c>
      <c r="AL5" s="20">
        <f t="shared" si="14"/>
        <v>184076</v>
      </c>
      <c r="AM5" s="20">
        <f t="shared" si="15"/>
        <v>213772</v>
      </c>
      <c r="AN5" s="20">
        <f t="shared" si="16"/>
        <v>230923</v>
      </c>
    </row>
    <row r="6" spans="1:40">
      <c r="A6" s="20" t="str">
        <f>'伤害统计(理想)'!A6</f>
        <v>飞剑4</v>
      </c>
      <c r="B6" s="20">
        <f>'伤害统计(理想)'!B6</f>
        <v>50</v>
      </c>
      <c r="C6" s="20">
        <f>'伤害统计(理想)'!C6</f>
        <v>34400</v>
      </c>
      <c r="D6" s="20">
        <f>'伤害统计(理想)'!D6</f>
        <v>45792</v>
      </c>
      <c r="E6" s="20">
        <f>'伤害统计(理想)'!E6</f>
        <v>0.286996875</v>
      </c>
      <c r="F6" s="20">
        <f>'伤害统计(理想)'!F6</f>
        <v>1</v>
      </c>
      <c r="G6" s="20">
        <f>'伤害统计(理想)'!G6</f>
        <v>0.12</v>
      </c>
      <c r="H6" s="20">
        <f>'伤害统计(理想)'!H6</f>
        <v>0.55</v>
      </c>
      <c r="I6" s="20">
        <f>'伤害统计(理想)'!I6</f>
        <v>1.35</v>
      </c>
      <c r="J6" s="20">
        <f>'伤害统计(理想)'!J6</f>
        <v>0.472</v>
      </c>
      <c r="K6" s="20">
        <f>'伤害统计(理想)'!K6</f>
        <v>0.1181</v>
      </c>
      <c r="L6" s="20">
        <f>'伤害统计(理想)'!L6</f>
        <v>0.177214436704937</v>
      </c>
      <c r="M6" s="20">
        <f>'伤害统计(理想)'!M6</f>
        <v>0.3473</v>
      </c>
      <c r="N6" s="20">
        <f>'伤害统计(理想)'!N6</f>
        <v>0.2</v>
      </c>
      <c r="O6" s="20">
        <f>'伤害统计(理想)'!O6</f>
        <v>0.4994</v>
      </c>
      <c r="P6" s="27">
        <f>'伤害统计(理想)'!P6-0.05</f>
        <v>-0.05</v>
      </c>
      <c r="Q6" s="27">
        <f t="shared" si="0"/>
        <v>0.4494</v>
      </c>
      <c r="R6" s="27">
        <f>R2</f>
        <v>0.2441</v>
      </c>
      <c r="S6" s="27">
        <f t="shared" si="1"/>
        <v>0.6935</v>
      </c>
      <c r="T6" s="27">
        <f>属性计算面板!B5</f>
        <v>2.0895</v>
      </c>
      <c r="U6" s="27">
        <f>0.1*按提示输入属性!D63</f>
        <v>0</v>
      </c>
      <c r="V6" s="20">
        <f t="shared" si="2"/>
        <v>2.0895</v>
      </c>
      <c r="W6" s="20">
        <f t="shared" ref="W6:AA6" si="20">W2</f>
        <v>0.2441</v>
      </c>
      <c r="X6" s="20">
        <f t="shared" si="3"/>
        <v>2.3336</v>
      </c>
      <c r="Y6" s="20">
        <f t="shared" si="20"/>
        <v>0.2441</v>
      </c>
      <c r="Z6" s="20">
        <f t="shared" si="4"/>
        <v>2.3336</v>
      </c>
      <c r="AA6" s="20">
        <f t="shared" si="20"/>
        <v>0.1953</v>
      </c>
      <c r="AB6" s="20">
        <f t="shared" si="5"/>
        <v>2.5289</v>
      </c>
      <c r="AC6" s="20">
        <f t="shared" si="6"/>
        <v>67583</v>
      </c>
      <c r="AD6" s="20">
        <f t="shared" si="7"/>
        <v>92874</v>
      </c>
      <c r="AE6" s="20">
        <f t="shared" si="8"/>
        <v>100325</v>
      </c>
      <c r="AF6" s="20">
        <f t="shared" si="9"/>
        <v>141214</v>
      </c>
      <c r="AG6" s="20">
        <f t="shared" si="10"/>
        <v>216730</v>
      </c>
      <c r="AH6" s="20">
        <f>INT(AE6*(T6+U6+0.4441+按提示输入属性!D64*0.1953))</f>
        <v>273776</v>
      </c>
      <c r="AI6" s="20">
        <f t="shared" si="11"/>
        <v>80229</v>
      </c>
      <c r="AJ6" s="20">
        <f t="shared" si="12"/>
        <v>187222</v>
      </c>
      <c r="AK6" s="20">
        <f t="shared" si="13"/>
        <v>86666</v>
      </c>
      <c r="AL6" s="20">
        <f t="shared" si="14"/>
        <v>202243</v>
      </c>
      <c r="AM6" s="20">
        <f t="shared" si="15"/>
        <v>234869</v>
      </c>
      <c r="AN6" s="20">
        <f t="shared" si="16"/>
        <v>253711</v>
      </c>
    </row>
    <row r="7" spans="1:40">
      <c r="A7" s="20" t="str">
        <f>'伤害统计(理想)'!A7</f>
        <v>飞剑5</v>
      </c>
      <c r="B7" s="20">
        <f>'伤害统计(理想)'!B7</f>
        <v>50</v>
      </c>
      <c r="C7" s="20">
        <f>'伤害统计(理想)'!C7</f>
        <v>34400</v>
      </c>
      <c r="D7" s="20">
        <f>'伤害统计(理想)'!D7</f>
        <v>45792</v>
      </c>
      <c r="E7" s="20">
        <f>'伤害统计(理想)'!E7</f>
        <v>0.286996875</v>
      </c>
      <c r="F7" s="20">
        <f>'伤害统计(理想)'!F7</f>
        <v>1</v>
      </c>
      <c r="G7" s="20">
        <f>'伤害统计(理想)'!G7</f>
        <v>0.12</v>
      </c>
      <c r="H7" s="20">
        <f>'伤害统计(理想)'!H7</f>
        <v>0.7</v>
      </c>
      <c r="I7" s="20">
        <f>'伤害统计(理想)'!I7</f>
        <v>1.35</v>
      </c>
      <c r="J7" s="20">
        <f>'伤害统计(理想)'!J7</f>
        <v>0.472</v>
      </c>
      <c r="K7" s="20">
        <f>'伤害统计(理想)'!K7</f>
        <v>0.1181</v>
      </c>
      <c r="L7" s="20">
        <f>'伤害统计(理想)'!L7</f>
        <v>0.177214436704937</v>
      </c>
      <c r="M7" s="20">
        <f>'伤害统计(理想)'!M7</f>
        <v>0.3473</v>
      </c>
      <c r="N7" s="20">
        <f>'伤害统计(理想)'!N7</f>
        <v>0.2</v>
      </c>
      <c r="O7" s="20">
        <f>'伤害统计(理想)'!O7</f>
        <v>0.4994</v>
      </c>
      <c r="P7" s="27">
        <f>'伤害统计(理想)'!P7-0.05</f>
        <v>-0.05</v>
      </c>
      <c r="Q7" s="27">
        <f t="shared" si="0"/>
        <v>0.4494</v>
      </c>
      <c r="R7" s="27">
        <f>R2</f>
        <v>0.2441</v>
      </c>
      <c r="S7" s="27">
        <f t="shared" si="1"/>
        <v>0.6935</v>
      </c>
      <c r="T7" s="27">
        <f>属性计算面板!B5</f>
        <v>2.0895</v>
      </c>
      <c r="U7" s="27">
        <f>0.1*按提示输入属性!D63</f>
        <v>0</v>
      </c>
      <c r="V7" s="20">
        <f t="shared" si="2"/>
        <v>2.0895</v>
      </c>
      <c r="W7" s="20">
        <f t="shared" ref="W7:AA7" si="21">W2</f>
        <v>0.2441</v>
      </c>
      <c r="X7" s="20">
        <f t="shared" si="3"/>
        <v>2.3336</v>
      </c>
      <c r="Y7" s="20">
        <f t="shared" si="21"/>
        <v>0.2441</v>
      </c>
      <c r="Z7" s="20">
        <f t="shared" si="4"/>
        <v>2.3336</v>
      </c>
      <c r="AA7" s="20">
        <f t="shared" si="21"/>
        <v>0.1953</v>
      </c>
      <c r="AB7" s="20">
        <f t="shared" si="5"/>
        <v>2.5289</v>
      </c>
      <c r="AC7" s="20">
        <f t="shared" si="6"/>
        <v>73654</v>
      </c>
      <c r="AD7" s="20">
        <f t="shared" si="7"/>
        <v>101216</v>
      </c>
      <c r="AE7" s="20">
        <f t="shared" si="8"/>
        <v>109336</v>
      </c>
      <c r="AF7" s="20">
        <f t="shared" si="9"/>
        <v>153900</v>
      </c>
      <c r="AG7" s="20">
        <f t="shared" si="10"/>
        <v>236197</v>
      </c>
      <c r="AH7" s="20">
        <f>INT(AE7*(T7+U7+0.4441+按提示输入属性!D64*0.1953))</f>
        <v>298367</v>
      </c>
      <c r="AI7" s="20">
        <f t="shared" si="11"/>
        <v>87435</v>
      </c>
      <c r="AJ7" s="20">
        <f t="shared" si="12"/>
        <v>204038</v>
      </c>
      <c r="AK7" s="20">
        <f t="shared" si="13"/>
        <v>94450</v>
      </c>
      <c r="AL7" s="20">
        <f t="shared" si="14"/>
        <v>220408</v>
      </c>
      <c r="AM7" s="20">
        <f t="shared" si="15"/>
        <v>255965</v>
      </c>
      <c r="AN7" s="20">
        <f t="shared" si="16"/>
        <v>276499</v>
      </c>
    </row>
    <row r="8" s="20" customFormat="1" spans="1:40">
      <c r="A8" s="20" t="str">
        <f>'伤害统计(理想)'!A8</f>
        <v>颠越苍穹击</v>
      </c>
      <c r="B8" s="20">
        <f>'伤害统计(理想)'!B8</f>
        <v>1090</v>
      </c>
      <c r="C8" s="20">
        <f>'伤害统计(理想)'!C8</f>
        <v>34400</v>
      </c>
      <c r="D8" s="20">
        <f>'伤害统计(理想)'!D8</f>
        <v>45792</v>
      </c>
      <c r="E8" s="20">
        <f>'伤害统计(理想)'!E8</f>
        <v>0.7239</v>
      </c>
      <c r="F8" s="20">
        <f>'伤害统计(理想)'!F8</f>
        <v>1</v>
      </c>
      <c r="G8" s="20">
        <f>'伤害统计(理想)'!G8</f>
        <v>0</v>
      </c>
      <c r="H8" s="20">
        <f>'伤害统计(理想)'!H8</f>
        <v>0</v>
      </c>
      <c r="I8" s="20">
        <f>'伤害统计(理想)'!I8</f>
        <v>0.05</v>
      </c>
      <c r="J8" s="20">
        <f>'伤害统计(理想)'!J8</f>
        <v>0.472</v>
      </c>
      <c r="K8" s="20">
        <f>'伤害统计(理想)'!K8</f>
        <v>0.1181</v>
      </c>
      <c r="L8" s="20">
        <f>'伤害统计(理想)'!L8</f>
        <v>0.177214436704937</v>
      </c>
      <c r="M8" s="20">
        <f>'伤害统计(理想)'!M8</f>
        <v>0.3473</v>
      </c>
      <c r="N8" s="20">
        <f>'伤害统计(理想)'!N8</f>
        <v>0.2</v>
      </c>
      <c r="O8" s="20">
        <f>'伤害统计(理想)'!O8</f>
        <v>0.4994</v>
      </c>
      <c r="P8" s="27">
        <f>'伤害统计(理想)'!P8-0.05</f>
        <v>-0.05</v>
      </c>
      <c r="Q8" s="27">
        <f t="shared" si="0"/>
        <v>0.4494</v>
      </c>
      <c r="R8" s="20">
        <f>R2</f>
        <v>0.2441</v>
      </c>
      <c r="S8" s="27">
        <f t="shared" si="1"/>
        <v>0.6935</v>
      </c>
      <c r="T8" s="20">
        <f>属性计算面板!B5</f>
        <v>2.0895</v>
      </c>
      <c r="V8" s="20">
        <f t="shared" si="2"/>
        <v>2.0895</v>
      </c>
      <c r="W8" s="20">
        <f>W2</f>
        <v>0.2441</v>
      </c>
      <c r="X8" s="20">
        <f t="shared" si="3"/>
        <v>2.3336</v>
      </c>
      <c r="Y8" s="20">
        <f>Y3</f>
        <v>0.2441</v>
      </c>
      <c r="Z8" s="20">
        <f t="shared" si="4"/>
        <v>2.3336</v>
      </c>
      <c r="AA8" s="20">
        <f>AA2</f>
        <v>0.1953</v>
      </c>
      <c r="AB8" s="20">
        <f t="shared" si="5"/>
        <v>2.5289</v>
      </c>
      <c r="AC8" s="20">
        <f t="shared" si="6"/>
        <v>46929</v>
      </c>
      <c r="AD8" s="20">
        <f t="shared" si="7"/>
        <v>63997</v>
      </c>
      <c r="AE8" s="20">
        <f t="shared" si="8"/>
        <v>69131</v>
      </c>
      <c r="AF8" s="20">
        <f t="shared" si="9"/>
        <v>98058</v>
      </c>
      <c r="AG8" s="20">
        <f t="shared" si="10"/>
        <v>149343</v>
      </c>
      <c r="AH8" s="20">
        <f t="shared" ref="AH8:AH14" si="22">INT(AE8*(T8+U8+0.4441))</f>
        <v>175150</v>
      </c>
      <c r="AI8" s="20">
        <f t="shared" si="11"/>
        <v>55463</v>
      </c>
      <c r="AJ8" s="20">
        <f t="shared" si="12"/>
        <v>129428</v>
      </c>
      <c r="AK8" s="20">
        <f t="shared" si="13"/>
        <v>59913</v>
      </c>
      <c r="AL8" s="20">
        <f t="shared" si="14"/>
        <v>139812</v>
      </c>
      <c r="AM8" s="20">
        <f t="shared" si="15"/>
        <v>161842</v>
      </c>
      <c r="AN8" s="20">
        <f t="shared" si="16"/>
        <v>174825</v>
      </c>
    </row>
    <row r="9" s="20" customFormat="1" spans="1:40">
      <c r="A9" s="20" t="str">
        <f>'伤害统计(理想)'!A9</f>
        <v>五方行尽</v>
      </c>
      <c r="B9" s="20">
        <f>'伤害统计(理想)'!B9</f>
        <v>51</v>
      </c>
      <c r="C9" s="20">
        <f>'伤害统计(理想)'!C9</f>
        <v>34400</v>
      </c>
      <c r="D9" s="20">
        <f>'伤害统计(理想)'!D9</f>
        <v>45792</v>
      </c>
      <c r="E9" s="20">
        <f>'伤害统计(理想)'!E9</f>
        <v>0.5453</v>
      </c>
      <c r="F9" s="20">
        <f>'伤害统计(理想)'!F9</f>
        <v>1</v>
      </c>
      <c r="G9" s="20">
        <f>'伤害统计(理想)'!G9</f>
        <v>0</v>
      </c>
      <c r="H9" s="20">
        <f>'伤害统计(理想)'!H9</f>
        <v>0</v>
      </c>
      <c r="I9" s="20">
        <f>'伤害统计(理想)'!I9</f>
        <v>0.05</v>
      </c>
      <c r="J9" s="20">
        <f>'伤害统计(理想)'!J9</f>
        <v>0.472</v>
      </c>
      <c r="K9" s="20">
        <f>'伤害统计(理想)'!K9</f>
        <v>0.1181</v>
      </c>
      <c r="L9" s="20">
        <f>'伤害统计(理想)'!L9</f>
        <v>0.177214436704937</v>
      </c>
      <c r="M9" s="20">
        <f>'伤害统计(理想)'!M9</f>
        <v>0.3473</v>
      </c>
      <c r="N9" s="20">
        <f>'伤害统计(理想)'!N9</f>
        <v>0.2</v>
      </c>
      <c r="O9" s="20">
        <f>'伤害统计(理想)'!O9</f>
        <v>0.4994</v>
      </c>
      <c r="P9" s="27">
        <f>'伤害统计(理想)'!P9-0.05</f>
        <v>-0.05</v>
      </c>
      <c r="Q9" s="27">
        <f t="shared" si="0"/>
        <v>0.4494</v>
      </c>
      <c r="R9" s="20">
        <f>R2</f>
        <v>0.2441</v>
      </c>
      <c r="S9" s="27">
        <f t="shared" si="1"/>
        <v>0.6935</v>
      </c>
      <c r="T9" s="20">
        <f>属性计算面板!B5</f>
        <v>2.0895</v>
      </c>
      <c r="V9" s="20">
        <f t="shared" si="2"/>
        <v>2.0895</v>
      </c>
      <c r="W9" s="20">
        <f t="shared" ref="W9:AA9" si="23">W2</f>
        <v>0.2441</v>
      </c>
      <c r="X9" s="20">
        <f t="shared" si="3"/>
        <v>2.3336</v>
      </c>
      <c r="Y9" s="20">
        <f t="shared" si="23"/>
        <v>0.2441</v>
      </c>
      <c r="Z9" s="20">
        <f t="shared" si="4"/>
        <v>2.3336</v>
      </c>
      <c r="AA9" s="20">
        <f t="shared" si="23"/>
        <v>0.1953</v>
      </c>
      <c r="AB9" s="20">
        <f t="shared" si="5"/>
        <v>2.5289</v>
      </c>
      <c r="AC9" s="20">
        <f t="shared" si="6"/>
        <v>34295</v>
      </c>
      <c r="AD9" s="20">
        <f t="shared" si="7"/>
        <v>47152</v>
      </c>
      <c r="AE9" s="20">
        <f t="shared" si="8"/>
        <v>50935</v>
      </c>
      <c r="AF9" s="20">
        <f t="shared" si="9"/>
        <v>71659</v>
      </c>
      <c r="AG9" s="20">
        <f t="shared" si="10"/>
        <v>110033</v>
      </c>
      <c r="AH9" s="20">
        <f t="shared" si="22"/>
        <v>129048</v>
      </c>
      <c r="AI9" s="20">
        <f t="shared" si="11"/>
        <v>40724</v>
      </c>
      <c r="AJ9" s="20">
        <f t="shared" si="12"/>
        <v>95033</v>
      </c>
      <c r="AK9" s="20">
        <f t="shared" si="13"/>
        <v>43991</v>
      </c>
      <c r="AL9" s="20">
        <f t="shared" si="14"/>
        <v>102657</v>
      </c>
      <c r="AM9" s="20">
        <f t="shared" si="15"/>
        <v>119242</v>
      </c>
      <c r="AN9" s="20">
        <f t="shared" si="16"/>
        <v>128809</v>
      </c>
    </row>
    <row r="10" spans="1:40">
      <c r="A10" s="20" t="str">
        <f>'伤害统计(理想)'!A10</f>
        <v>四象轮回</v>
      </c>
      <c r="B10" s="20">
        <f>'伤害统计(理想)'!B10</f>
        <v>1000</v>
      </c>
      <c r="C10" s="20">
        <f>'伤害统计(理想)'!C10</f>
        <v>34400</v>
      </c>
      <c r="D10" s="20">
        <f>'伤害统计(理想)'!D10</f>
        <v>45792</v>
      </c>
      <c r="E10" s="20">
        <f>'伤害统计(理想)'!E10</f>
        <v>2.29640625</v>
      </c>
      <c r="F10" s="20">
        <f>'伤害统计(理想)'!F10</f>
        <v>1</v>
      </c>
      <c r="G10" s="20">
        <f>'伤害统计(理想)'!G10</f>
        <v>0</v>
      </c>
      <c r="H10" s="20">
        <f>'伤害统计(理想)'!H10</f>
        <v>0.2</v>
      </c>
      <c r="I10" s="20">
        <f>'伤害统计(理想)'!I10</f>
        <v>0.05</v>
      </c>
      <c r="J10" s="20">
        <f>'伤害统计(理想)'!J10</f>
        <v>0.472</v>
      </c>
      <c r="K10" s="20">
        <f>'伤害统计(理想)'!K10</f>
        <v>0.1181</v>
      </c>
      <c r="L10" s="20">
        <f>'伤害统计(理想)'!L10</f>
        <v>0.177214436704937</v>
      </c>
      <c r="M10" s="20">
        <f>'伤害统计(理想)'!M10</f>
        <v>0.3473</v>
      </c>
      <c r="N10" s="20">
        <f>'伤害统计(理想)'!N10</f>
        <v>0.2</v>
      </c>
      <c r="O10" s="20">
        <f>'伤害统计(理想)'!O10</f>
        <v>0.4994</v>
      </c>
      <c r="P10" s="27">
        <f>'伤害统计(理想)'!P10-0.05</f>
        <v>0.12</v>
      </c>
      <c r="Q10" s="27">
        <f t="shared" si="0"/>
        <v>0.6194</v>
      </c>
      <c r="R10" s="27">
        <f>R2</f>
        <v>0.2441</v>
      </c>
      <c r="S10" s="27">
        <f t="shared" si="1"/>
        <v>0.8635</v>
      </c>
      <c r="T10" s="27">
        <f>属性计算面板!B5</f>
        <v>2.0895</v>
      </c>
      <c r="U10" s="27">
        <v>0.1</v>
      </c>
      <c r="V10" s="20">
        <f t="shared" si="2"/>
        <v>2.1895</v>
      </c>
      <c r="W10" s="20">
        <f t="shared" ref="W10:AA10" si="24">W2</f>
        <v>0.2441</v>
      </c>
      <c r="X10" s="20">
        <f t="shared" si="3"/>
        <v>2.4336</v>
      </c>
      <c r="Y10" s="20">
        <f t="shared" si="24"/>
        <v>0.2441</v>
      </c>
      <c r="Z10" s="20">
        <f t="shared" si="4"/>
        <v>2.4336</v>
      </c>
      <c r="AA10" s="20">
        <f t="shared" si="24"/>
        <v>0.1953</v>
      </c>
      <c r="AB10" s="20">
        <f t="shared" si="5"/>
        <v>2.6289</v>
      </c>
      <c r="AC10" s="20">
        <f t="shared" si="6"/>
        <v>174609</v>
      </c>
      <c r="AD10" s="20">
        <f t="shared" si="7"/>
        <v>239577</v>
      </c>
      <c r="AE10" s="20">
        <f t="shared" si="8"/>
        <v>258798</v>
      </c>
      <c r="AF10" s="20">
        <f t="shared" si="9"/>
        <v>382306</v>
      </c>
      <c r="AG10" s="20">
        <f t="shared" si="10"/>
        <v>583034</v>
      </c>
      <c r="AH10" s="20">
        <f t="shared" si="22"/>
        <v>681570</v>
      </c>
      <c r="AI10" s="20">
        <f t="shared" si="11"/>
        <v>207093</v>
      </c>
      <c r="AJ10" s="20">
        <f t="shared" si="12"/>
        <v>503981</v>
      </c>
      <c r="AK10" s="20">
        <f t="shared" si="13"/>
        <v>223708</v>
      </c>
      <c r="AL10" s="20">
        <f t="shared" si="14"/>
        <v>544415</v>
      </c>
      <c r="AM10" s="20">
        <f t="shared" si="15"/>
        <v>629823</v>
      </c>
      <c r="AN10" s="20">
        <f t="shared" si="16"/>
        <v>680354</v>
      </c>
    </row>
    <row r="11" spans="1:40">
      <c r="A11" s="20" t="str">
        <f>'伤害统计(理想)'!A11</f>
        <v>两仪化形</v>
      </c>
      <c r="B11" s="20">
        <f>'伤害统计(理想)'!B11</f>
        <v>2739</v>
      </c>
      <c r="C11" s="20">
        <f>'伤害统计(理想)'!C11</f>
        <v>34400</v>
      </c>
      <c r="D11" s="20">
        <f>'伤害统计(理想)'!D11</f>
        <v>45792</v>
      </c>
      <c r="E11" s="20">
        <f>'伤害统计(理想)'!E11</f>
        <v>2.000625</v>
      </c>
      <c r="F11" s="20">
        <f>'伤害统计(理想)'!F11</f>
        <v>1</v>
      </c>
      <c r="G11" s="20">
        <f>'伤害统计(理想)'!G11</f>
        <v>0.09</v>
      </c>
      <c r="H11" s="20">
        <f>'伤害统计(理想)'!H11</f>
        <v>0.2</v>
      </c>
      <c r="I11" s="20">
        <f>'伤害统计(理想)'!I11</f>
        <v>0.05</v>
      </c>
      <c r="J11" s="20">
        <f>'伤害统计(理想)'!J11</f>
        <v>0.472</v>
      </c>
      <c r="K11" s="20">
        <f>'伤害统计(理想)'!K11</f>
        <v>0.1181</v>
      </c>
      <c r="L11" s="20">
        <f>'伤害统计(理想)'!L11</f>
        <v>0.177214436704937</v>
      </c>
      <c r="M11" s="20">
        <f>'伤害统计(理想)'!M11</f>
        <v>0.3473</v>
      </c>
      <c r="N11" s="20">
        <f>'伤害统计(理想)'!N11</f>
        <v>0.2</v>
      </c>
      <c r="O11" s="20">
        <f>'伤害统计(理想)'!O11</f>
        <v>0.4994</v>
      </c>
      <c r="P11" s="27">
        <f>'伤害统计(理想)'!P11-0.05</f>
        <v>-0.01</v>
      </c>
      <c r="Q11" s="27">
        <f t="shared" si="0"/>
        <v>0.4894</v>
      </c>
      <c r="R11" s="27">
        <f>R2</f>
        <v>0.2441</v>
      </c>
      <c r="S11" s="27">
        <f t="shared" si="1"/>
        <v>0.7335</v>
      </c>
      <c r="T11" s="27">
        <f>属性计算面板!B5</f>
        <v>2.0895</v>
      </c>
      <c r="U11" s="27"/>
      <c r="V11" s="20">
        <f t="shared" si="2"/>
        <v>2.0895</v>
      </c>
      <c r="W11" s="20">
        <f t="shared" ref="W11:AA11" si="25">W2</f>
        <v>0.2441</v>
      </c>
      <c r="X11" s="20">
        <f t="shared" si="3"/>
        <v>2.3336</v>
      </c>
      <c r="Y11" s="20">
        <f t="shared" si="25"/>
        <v>0.2441</v>
      </c>
      <c r="Z11" s="20">
        <f t="shared" si="4"/>
        <v>2.3336</v>
      </c>
      <c r="AA11" s="20">
        <f t="shared" si="25"/>
        <v>0.1953</v>
      </c>
      <c r="AB11" s="20">
        <f t="shared" si="5"/>
        <v>2.5289</v>
      </c>
      <c r="AC11" s="20">
        <f t="shared" si="6"/>
        <v>166830</v>
      </c>
      <c r="AD11" s="20">
        <f t="shared" si="7"/>
        <v>227675</v>
      </c>
      <c r="AE11" s="20">
        <f t="shared" si="8"/>
        <v>245942</v>
      </c>
      <c r="AF11" s="20">
        <f t="shared" si="9"/>
        <v>348591</v>
      </c>
      <c r="AG11" s="20">
        <f t="shared" si="10"/>
        <v>531302</v>
      </c>
      <c r="AH11" s="20">
        <f t="shared" si="22"/>
        <v>623118</v>
      </c>
      <c r="AI11" s="20">
        <f t="shared" si="11"/>
        <v>197253</v>
      </c>
      <c r="AJ11" s="20">
        <f t="shared" si="12"/>
        <v>460309</v>
      </c>
      <c r="AK11" s="20">
        <f t="shared" si="13"/>
        <v>213079</v>
      </c>
      <c r="AL11" s="20">
        <f t="shared" si="14"/>
        <v>497241</v>
      </c>
      <c r="AM11" s="20">
        <f t="shared" si="15"/>
        <v>575767</v>
      </c>
      <c r="AN11" s="20">
        <f t="shared" si="16"/>
        <v>621962</v>
      </c>
    </row>
    <row r="12" spans="1:40">
      <c r="A12" s="20" t="str">
        <f>'伤害统计(理想)'!A12</f>
        <v>两仪化形(4</v>
      </c>
      <c r="B12" s="20">
        <f>'伤害统计(理想)'!B12</f>
        <v>2466</v>
      </c>
      <c r="C12" s="20">
        <f>'伤害统计(理想)'!C12</f>
        <v>34400</v>
      </c>
      <c r="D12" s="20">
        <f>'伤害统计(理想)'!D12</f>
        <v>45792</v>
      </c>
      <c r="E12" s="20">
        <f>'伤害统计(理想)'!E12</f>
        <v>1.654186908</v>
      </c>
      <c r="F12" s="20">
        <f>'伤害统计(理想)'!F12</f>
        <v>1</v>
      </c>
      <c r="G12" s="20">
        <f>'伤害统计(理想)'!G12</f>
        <v>0.09</v>
      </c>
      <c r="H12" s="20">
        <f>'伤害统计(理想)'!H12</f>
        <v>0.2</v>
      </c>
      <c r="I12" s="20">
        <f>'伤害统计(理想)'!I12</f>
        <v>0.05</v>
      </c>
      <c r="J12" s="20">
        <f>'伤害统计(理想)'!J12</f>
        <v>0.472</v>
      </c>
      <c r="K12" s="20">
        <f>'伤害统计(理想)'!K12</f>
        <v>0.1181</v>
      </c>
      <c r="L12" s="20">
        <f>'伤害统计(理想)'!L12</f>
        <v>0.177214436704937</v>
      </c>
      <c r="M12" s="20">
        <f>'伤害统计(理想)'!M12</f>
        <v>0.3473</v>
      </c>
      <c r="N12" s="20">
        <f>'伤害统计(理想)'!N12</f>
        <v>0.2</v>
      </c>
      <c r="O12" s="20">
        <f>'伤害统计(理想)'!O12</f>
        <v>0.4994</v>
      </c>
      <c r="P12" s="27">
        <f>'伤害统计(理想)'!P12-0.05</f>
        <v>-0.01</v>
      </c>
      <c r="Q12" s="27">
        <f t="shared" si="0"/>
        <v>0.4894</v>
      </c>
      <c r="R12" s="27">
        <f>R2</f>
        <v>0.2441</v>
      </c>
      <c r="S12" s="27">
        <f t="shared" si="1"/>
        <v>0.7335</v>
      </c>
      <c r="T12" s="27">
        <f>属性计算面板!B5</f>
        <v>2.0895</v>
      </c>
      <c r="U12" s="27"/>
      <c r="V12" s="20">
        <f t="shared" si="2"/>
        <v>2.0895</v>
      </c>
      <c r="W12" s="20">
        <f t="shared" ref="W12:AA12" si="26">W2</f>
        <v>0.2441</v>
      </c>
      <c r="X12" s="20">
        <f t="shared" si="3"/>
        <v>2.3336</v>
      </c>
      <c r="Y12" s="20">
        <f t="shared" si="26"/>
        <v>0.2441</v>
      </c>
      <c r="Z12" s="20">
        <f t="shared" si="4"/>
        <v>2.3336</v>
      </c>
      <c r="AA12" s="20">
        <f t="shared" si="26"/>
        <v>0.1953</v>
      </c>
      <c r="AB12" s="20">
        <f t="shared" si="5"/>
        <v>2.5289</v>
      </c>
      <c r="AC12" s="20">
        <f t="shared" si="6"/>
        <v>138296</v>
      </c>
      <c r="AD12" s="20">
        <f t="shared" si="7"/>
        <v>188606</v>
      </c>
      <c r="AE12" s="20">
        <f t="shared" si="8"/>
        <v>203738</v>
      </c>
      <c r="AF12" s="20">
        <f t="shared" si="9"/>
        <v>288969</v>
      </c>
      <c r="AG12" s="20">
        <f t="shared" si="10"/>
        <v>440130</v>
      </c>
      <c r="AH12" s="20">
        <f t="shared" si="22"/>
        <v>516190</v>
      </c>
      <c r="AI12" s="20">
        <f t="shared" si="11"/>
        <v>163451</v>
      </c>
      <c r="AJ12" s="20">
        <f t="shared" si="12"/>
        <v>381429</v>
      </c>
      <c r="AK12" s="20">
        <f t="shared" si="13"/>
        <v>176565</v>
      </c>
      <c r="AL12" s="20">
        <f t="shared" si="14"/>
        <v>412032</v>
      </c>
      <c r="AM12" s="20">
        <f t="shared" si="15"/>
        <v>476965</v>
      </c>
      <c r="AN12" s="20">
        <f t="shared" si="16"/>
        <v>515233</v>
      </c>
    </row>
    <row r="13" spans="1:40">
      <c r="A13" s="20" t="str">
        <f>'伤害统计(理想)'!A13</f>
        <v>两仪化形(3.5</v>
      </c>
      <c r="B13" s="20">
        <f>'伤害统计(理想)'!B13</f>
        <v>2191</v>
      </c>
      <c r="C13" s="20">
        <f>'伤害统计(理想)'!C13</f>
        <v>34400</v>
      </c>
      <c r="D13" s="20">
        <f>'伤害统计(理想)'!D13</f>
        <v>45792</v>
      </c>
      <c r="E13" s="20">
        <f>'伤害统计(理想)'!E13</f>
        <v>1.4586550308</v>
      </c>
      <c r="F13" s="20">
        <f>'伤害统计(理想)'!F13</f>
        <v>1</v>
      </c>
      <c r="G13" s="20">
        <f>'伤害统计(理想)'!G13</f>
        <v>0.09</v>
      </c>
      <c r="H13" s="20">
        <f>'伤害统计(理想)'!H13</f>
        <v>0.2</v>
      </c>
      <c r="I13" s="20">
        <f>'伤害统计(理想)'!I13</f>
        <v>0.05</v>
      </c>
      <c r="J13" s="20">
        <f>'伤害统计(理想)'!J13</f>
        <v>0.472</v>
      </c>
      <c r="K13" s="20">
        <f>'伤害统计(理想)'!K13</f>
        <v>0.1181</v>
      </c>
      <c r="L13" s="20">
        <f>'伤害统计(理想)'!L13</f>
        <v>0.177214436704937</v>
      </c>
      <c r="M13" s="20">
        <f>'伤害统计(理想)'!M13</f>
        <v>0.3473</v>
      </c>
      <c r="N13" s="20">
        <f>'伤害统计(理想)'!N13</f>
        <v>0.2</v>
      </c>
      <c r="O13" s="20">
        <f>'伤害统计(理想)'!O13</f>
        <v>0.4994</v>
      </c>
      <c r="P13" s="27">
        <f>'伤害统计(理想)'!P13-0.05</f>
        <v>-0.01</v>
      </c>
      <c r="Q13" s="27">
        <f t="shared" si="0"/>
        <v>0.4894</v>
      </c>
      <c r="R13" s="27">
        <f>R2</f>
        <v>0.2441</v>
      </c>
      <c r="S13" s="27">
        <f t="shared" si="1"/>
        <v>0.7335</v>
      </c>
      <c r="T13" s="27">
        <f>属性计算面板!B5</f>
        <v>2.0895</v>
      </c>
      <c r="U13" s="27"/>
      <c r="V13" s="20">
        <f t="shared" si="2"/>
        <v>2.0895</v>
      </c>
      <c r="W13" s="20">
        <f t="shared" ref="W13:AA13" si="27">W2</f>
        <v>0.2441</v>
      </c>
      <c r="X13" s="20">
        <f t="shared" si="3"/>
        <v>2.3336</v>
      </c>
      <c r="Y13" s="20">
        <f t="shared" si="27"/>
        <v>0.2441</v>
      </c>
      <c r="Z13" s="20">
        <f t="shared" si="4"/>
        <v>2.3336</v>
      </c>
      <c r="AA13" s="20">
        <f t="shared" si="27"/>
        <v>0.1953</v>
      </c>
      <c r="AB13" s="20">
        <f t="shared" si="5"/>
        <v>2.5289</v>
      </c>
      <c r="AC13" s="20">
        <f t="shared" si="6"/>
        <v>121978</v>
      </c>
      <c r="AD13" s="20">
        <f t="shared" si="7"/>
        <v>166341</v>
      </c>
      <c r="AE13" s="20">
        <f t="shared" si="8"/>
        <v>179687</v>
      </c>
      <c r="AF13" s="20">
        <f t="shared" si="9"/>
        <v>254873</v>
      </c>
      <c r="AG13" s="20">
        <f t="shared" si="10"/>
        <v>388173</v>
      </c>
      <c r="AH13" s="20">
        <f t="shared" si="22"/>
        <v>455254</v>
      </c>
      <c r="AI13" s="20">
        <f t="shared" si="11"/>
        <v>144160</v>
      </c>
      <c r="AJ13" s="20">
        <f t="shared" si="12"/>
        <v>336411</v>
      </c>
      <c r="AK13" s="20">
        <f t="shared" si="13"/>
        <v>155726</v>
      </c>
      <c r="AL13" s="20">
        <f t="shared" si="14"/>
        <v>363402</v>
      </c>
      <c r="AM13" s="20">
        <f t="shared" si="15"/>
        <v>420659</v>
      </c>
      <c r="AN13" s="20">
        <f t="shared" si="16"/>
        <v>454410</v>
      </c>
    </row>
    <row r="14" spans="1:40">
      <c r="A14" s="20" t="str">
        <f>'伤害统计(理想)'!A14</f>
        <v>六合1</v>
      </c>
      <c r="B14" s="20">
        <f>'伤害统计(理想)'!B14</f>
        <v>90</v>
      </c>
      <c r="C14" s="20">
        <f>'伤害统计(理想)'!C14</f>
        <v>34400</v>
      </c>
      <c r="D14" s="20">
        <f>'伤害统计(理想)'!D14</f>
        <v>45792</v>
      </c>
      <c r="E14" s="20">
        <f>'伤害统计(理想)'!E14</f>
        <v>0.854167</v>
      </c>
      <c r="F14" s="20">
        <f>'伤害统计(理想)'!F14</f>
        <v>1</v>
      </c>
      <c r="G14" s="20">
        <f>'伤害统计(理想)'!G14</f>
        <v>0</v>
      </c>
      <c r="H14" s="20">
        <f>'伤害统计(理想)'!H14</f>
        <v>0</v>
      </c>
      <c r="I14" s="20">
        <f>'伤害统计(理想)'!I14</f>
        <v>0.05</v>
      </c>
      <c r="J14" s="20">
        <f>'伤害统计(理想)'!J14</f>
        <v>0.472</v>
      </c>
      <c r="K14" s="20">
        <f>'伤害统计(理想)'!K14</f>
        <v>0.1181</v>
      </c>
      <c r="L14" s="20">
        <f>'伤害统计(理想)'!L14</f>
        <v>0.177214436704937</v>
      </c>
      <c r="M14" s="20">
        <f>'伤害统计(理想)'!M14</f>
        <v>0.3473</v>
      </c>
      <c r="N14" s="20">
        <f>'伤害统计(理想)'!N14</f>
        <v>0.2</v>
      </c>
      <c r="O14" s="20">
        <f>'伤害统计(理想)'!O14</f>
        <v>0.4994</v>
      </c>
      <c r="P14" s="27">
        <f>'伤害统计(理想)'!P14-0.05</f>
        <v>-0.05</v>
      </c>
      <c r="Q14" s="27">
        <f t="shared" si="0"/>
        <v>0.4494</v>
      </c>
      <c r="R14" s="27">
        <f>R2</f>
        <v>0.2441</v>
      </c>
      <c r="S14" s="27">
        <f t="shared" si="1"/>
        <v>0.6935</v>
      </c>
      <c r="T14" s="27">
        <f>属性计算面板!B5</f>
        <v>2.0895</v>
      </c>
      <c r="U14" s="27"/>
      <c r="V14" s="20">
        <f t="shared" si="2"/>
        <v>2.0895</v>
      </c>
      <c r="W14" s="20">
        <f t="shared" ref="W14:AA14" si="28">W2</f>
        <v>0.2441</v>
      </c>
      <c r="X14" s="20">
        <f t="shared" si="3"/>
        <v>2.3336</v>
      </c>
      <c r="Y14" s="20">
        <f t="shared" si="28"/>
        <v>0.2441</v>
      </c>
      <c r="Z14" s="20">
        <f t="shared" si="4"/>
        <v>2.3336</v>
      </c>
      <c r="AA14" s="20">
        <f t="shared" si="28"/>
        <v>0.1953</v>
      </c>
      <c r="AB14" s="20">
        <f t="shared" si="5"/>
        <v>2.5289</v>
      </c>
      <c r="AC14" s="20">
        <f t="shared" si="6"/>
        <v>53736</v>
      </c>
      <c r="AD14" s="20">
        <f t="shared" si="7"/>
        <v>73874</v>
      </c>
      <c r="AE14" s="20">
        <f t="shared" si="8"/>
        <v>79801</v>
      </c>
      <c r="AF14" s="20">
        <f t="shared" si="9"/>
        <v>112281</v>
      </c>
      <c r="AG14" s="20">
        <f t="shared" si="10"/>
        <v>172392</v>
      </c>
      <c r="AH14" s="20">
        <f t="shared" si="22"/>
        <v>202183</v>
      </c>
      <c r="AI14" s="20">
        <f t="shared" si="11"/>
        <v>63805</v>
      </c>
      <c r="AJ14" s="20">
        <f t="shared" si="12"/>
        <v>148895</v>
      </c>
      <c r="AK14" s="20">
        <f t="shared" si="13"/>
        <v>68924</v>
      </c>
      <c r="AL14" s="20">
        <f t="shared" si="14"/>
        <v>160841</v>
      </c>
      <c r="AM14" s="20">
        <f t="shared" si="15"/>
        <v>186819</v>
      </c>
      <c r="AN14" s="20">
        <f t="shared" si="16"/>
        <v>201808</v>
      </c>
    </row>
    <row r="15" spans="1:40">
      <c r="A15" s="20" t="str">
        <f>'伤害统计(理想)'!A15</f>
        <v>六合2</v>
      </c>
      <c r="B15" s="20">
        <f>'伤害统计(理想)'!B15</f>
        <v>90</v>
      </c>
      <c r="C15" s="20">
        <f>'伤害统计(理想)'!C15</f>
        <v>34400</v>
      </c>
      <c r="D15" s="20">
        <f>'伤害统计(理想)'!D15</f>
        <v>45792</v>
      </c>
      <c r="E15" s="20">
        <f>'伤害统计(理想)'!E15</f>
        <v>0.854167</v>
      </c>
      <c r="F15" s="20">
        <f>'伤害统计(理想)'!F15</f>
        <v>1</v>
      </c>
      <c r="G15" s="20">
        <f>'伤害统计(理想)'!G15</f>
        <v>0</v>
      </c>
      <c r="H15" s="20">
        <f>'伤害统计(理想)'!H15</f>
        <v>0.35</v>
      </c>
      <c r="I15" s="20">
        <f>'伤害统计(理想)'!I15</f>
        <v>0.05</v>
      </c>
      <c r="J15" s="20">
        <f>'伤害统计(理想)'!J15</f>
        <v>0.472</v>
      </c>
      <c r="K15" s="20">
        <f>'伤害统计(理想)'!K15</f>
        <v>0.1181</v>
      </c>
      <c r="L15" s="20">
        <f>'伤害统计(理想)'!L15</f>
        <v>0.177214436704937</v>
      </c>
      <c r="M15" s="20">
        <f>'伤害统计(理想)'!M15</f>
        <v>0.3473</v>
      </c>
      <c r="N15" s="20">
        <f>'伤害统计(理想)'!N15</f>
        <v>0.2</v>
      </c>
      <c r="O15" s="20">
        <f>'伤害统计(理想)'!O15</f>
        <v>0.4994</v>
      </c>
      <c r="P15" s="27">
        <f>'伤害统计(理想)'!P15-0.05</f>
        <v>-0.05</v>
      </c>
      <c r="Q15" s="27">
        <f t="shared" si="0"/>
        <v>0.4494</v>
      </c>
      <c r="R15" s="27">
        <f>R2</f>
        <v>0.2441</v>
      </c>
      <c r="S15" s="27">
        <f t="shared" si="1"/>
        <v>0.6935</v>
      </c>
      <c r="T15" s="27">
        <f>属性计算面板!B5</f>
        <v>2.0895</v>
      </c>
      <c r="U15" s="27"/>
      <c r="V15" s="20">
        <f t="shared" si="2"/>
        <v>2.0895</v>
      </c>
      <c r="W15" s="20">
        <f t="shared" ref="W15:AA15" si="29">W2</f>
        <v>0.2441</v>
      </c>
      <c r="X15" s="20">
        <f t="shared" si="3"/>
        <v>2.3336</v>
      </c>
      <c r="Y15" s="20">
        <f t="shared" si="29"/>
        <v>0.2441</v>
      </c>
      <c r="Z15" s="20">
        <f t="shared" si="4"/>
        <v>2.3336</v>
      </c>
      <c r="AA15" s="20">
        <f t="shared" si="29"/>
        <v>0.1953</v>
      </c>
      <c r="AB15" s="20">
        <f t="shared" si="5"/>
        <v>2.5289</v>
      </c>
      <c r="AC15" s="20">
        <f t="shared" si="6"/>
        <v>72544</v>
      </c>
      <c r="AD15" s="20">
        <f t="shared" si="7"/>
        <v>99730</v>
      </c>
      <c r="AE15" s="20">
        <f t="shared" si="8"/>
        <v>107731</v>
      </c>
      <c r="AF15" s="20">
        <f t="shared" si="9"/>
        <v>151580</v>
      </c>
      <c r="AG15" s="20">
        <f t="shared" si="10"/>
        <v>232729</v>
      </c>
      <c r="AH15" s="20">
        <f>INT(AE15*(T15+U15+0.4441+按提示输入属性!D64*0.1953))</f>
        <v>293987</v>
      </c>
      <c r="AI15" s="20">
        <f t="shared" si="11"/>
        <v>86137</v>
      </c>
      <c r="AJ15" s="20">
        <f t="shared" si="12"/>
        <v>201009</v>
      </c>
      <c r="AK15" s="20">
        <f t="shared" si="13"/>
        <v>93047</v>
      </c>
      <c r="AL15" s="20">
        <f t="shared" si="14"/>
        <v>217134</v>
      </c>
      <c r="AM15" s="20">
        <f t="shared" si="15"/>
        <v>252207</v>
      </c>
      <c r="AN15" s="20">
        <f t="shared" si="16"/>
        <v>272440</v>
      </c>
    </row>
    <row r="16" spans="1:40">
      <c r="A16" s="20" t="str">
        <f>'伤害统计(理想)'!A16</f>
        <v>六合3</v>
      </c>
      <c r="B16" s="20">
        <f>'伤害统计(理想)'!B16</f>
        <v>90</v>
      </c>
      <c r="C16" s="20">
        <f>'伤害统计(理想)'!C16</f>
        <v>34400</v>
      </c>
      <c r="D16" s="20">
        <f>'伤害统计(理想)'!D16</f>
        <v>45792</v>
      </c>
      <c r="E16" s="20">
        <f>'伤害统计(理想)'!E16</f>
        <v>0.854167</v>
      </c>
      <c r="F16" s="20">
        <f>'伤害统计(理想)'!F16</f>
        <v>1</v>
      </c>
      <c r="G16" s="20">
        <f>'伤害统计(理想)'!G16</f>
        <v>0</v>
      </c>
      <c r="H16" s="20">
        <f>'伤害统计(理想)'!H16</f>
        <v>0.7</v>
      </c>
      <c r="I16" s="20">
        <f>'伤害统计(理想)'!I16</f>
        <v>0.05</v>
      </c>
      <c r="J16" s="20">
        <f>'伤害统计(理想)'!J16</f>
        <v>0.472</v>
      </c>
      <c r="K16" s="20">
        <f>'伤害统计(理想)'!K16</f>
        <v>0.1181</v>
      </c>
      <c r="L16" s="20">
        <f>'伤害统计(理想)'!L16</f>
        <v>0.177214436704937</v>
      </c>
      <c r="M16" s="20">
        <f>'伤害统计(理想)'!M16</f>
        <v>0.3473</v>
      </c>
      <c r="N16" s="20">
        <f>'伤害统计(理想)'!N16</f>
        <v>0.2</v>
      </c>
      <c r="O16" s="20">
        <f>'伤害统计(理想)'!O16</f>
        <v>0.4994</v>
      </c>
      <c r="P16" s="27">
        <f>'伤害统计(理想)'!P16-0.05</f>
        <v>-0.05</v>
      </c>
      <c r="Q16" s="27">
        <f t="shared" si="0"/>
        <v>0.4494</v>
      </c>
      <c r="R16" s="27">
        <f>R2</f>
        <v>0.2441</v>
      </c>
      <c r="S16" s="27">
        <f t="shared" si="1"/>
        <v>0.6935</v>
      </c>
      <c r="T16" s="27">
        <f>属性计算面板!B5</f>
        <v>2.0895</v>
      </c>
      <c r="U16" s="27"/>
      <c r="V16" s="20">
        <f t="shared" si="2"/>
        <v>2.0895</v>
      </c>
      <c r="W16" s="20">
        <f t="shared" ref="W16:AA16" si="30">W2</f>
        <v>0.2441</v>
      </c>
      <c r="X16" s="20">
        <f t="shared" si="3"/>
        <v>2.3336</v>
      </c>
      <c r="Y16" s="20">
        <f t="shared" si="30"/>
        <v>0.2441</v>
      </c>
      <c r="Z16" s="20">
        <f t="shared" si="4"/>
        <v>2.3336</v>
      </c>
      <c r="AA16" s="20">
        <f t="shared" si="30"/>
        <v>0.1953</v>
      </c>
      <c r="AB16" s="20">
        <f t="shared" si="5"/>
        <v>2.5289</v>
      </c>
      <c r="AC16" s="20">
        <f t="shared" si="6"/>
        <v>91351</v>
      </c>
      <c r="AD16" s="20">
        <f t="shared" si="7"/>
        <v>125585</v>
      </c>
      <c r="AE16" s="20">
        <f t="shared" si="8"/>
        <v>135661</v>
      </c>
      <c r="AF16" s="20">
        <f t="shared" si="9"/>
        <v>190877</v>
      </c>
      <c r="AG16" s="20">
        <f t="shared" si="10"/>
        <v>293065</v>
      </c>
      <c r="AH16" s="20">
        <f>INT(AE16*(T16+U16+0.4441+按提示输入属性!D64*0.1953))</f>
        <v>370205</v>
      </c>
      <c r="AI16" s="20">
        <f t="shared" si="11"/>
        <v>108468</v>
      </c>
      <c r="AJ16" s="20">
        <f t="shared" si="12"/>
        <v>253120</v>
      </c>
      <c r="AK16" s="20">
        <f t="shared" si="13"/>
        <v>117171</v>
      </c>
      <c r="AL16" s="20">
        <f t="shared" si="14"/>
        <v>273430</v>
      </c>
      <c r="AM16" s="20">
        <f t="shared" si="15"/>
        <v>317591</v>
      </c>
      <c r="AN16" s="20">
        <f t="shared" si="16"/>
        <v>343073</v>
      </c>
    </row>
    <row r="17" spans="1:40">
      <c r="A17" s="20" t="str">
        <f>'伤害统计(理想)'!A17</f>
        <v>六合4</v>
      </c>
      <c r="B17" s="20">
        <f>'伤害统计(理想)'!B17</f>
        <v>90</v>
      </c>
      <c r="C17" s="20">
        <f>'伤害统计(理想)'!C17</f>
        <v>34400</v>
      </c>
      <c r="D17" s="20">
        <f>'伤害统计(理想)'!D17</f>
        <v>45792</v>
      </c>
      <c r="E17" s="20">
        <f>'伤害统计(理想)'!E17</f>
        <v>0.854167</v>
      </c>
      <c r="F17" s="20">
        <f>'伤害统计(理想)'!F17</f>
        <v>1</v>
      </c>
      <c r="G17" s="20">
        <f>'伤害统计(理想)'!G17</f>
        <v>0</v>
      </c>
      <c r="H17" s="20">
        <f>'伤害统计(理想)'!H17</f>
        <v>1.05</v>
      </c>
      <c r="I17" s="20">
        <f>'伤害统计(理想)'!I17</f>
        <v>0.05</v>
      </c>
      <c r="J17" s="20">
        <f>'伤害统计(理想)'!J17</f>
        <v>0.472</v>
      </c>
      <c r="K17" s="20">
        <f>'伤害统计(理想)'!K17</f>
        <v>0.1181</v>
      </c>
      <c r="L17" s="20">
        <f>'伤害统计(理想)'!L17</f>
        <v>0.177214436704937</v>
      </c>
      <c r="M17" s="20">
        <f>'伤害统计(理想)'!M17</f>
        <v>0.3473</v>
      </c>
      <c r="N17" s="20">
        <f>'伤害统计(理想)'!N17</f>
        <v>0.2</v>
      </c>
      <c r="O17" s="20">
        <f>'伤害统计(理想)'!O17</f>
        <v>0.4994</v>
      </c>
      <c r="P17" s="27">
        <f>'伤害统计(理想)'!P17-0.05</f>
        <v>-0.05</v>
      </c>
      <c r="Q17" s="27">
        <f t="shared" si="0"/>
        <v>0.4494</v>
      </c>
      <c r="R17" s="27">
        <f>R2</f>
        <v>0.2441</v>
      </c>
      <c r="S17" s="27">
        <f t="shared" si="1"/>
        <v>0.6935</v>
      </c>
      <c r="T17" s="27">
        <f>属性计算面板!B5</f>
        <v>2.0895</v>
      </c>
      <c r="U17" s="27"/>
      <c r="V17" s="20">
        <f t="shared" si="2"/>
        <v>2.0895</v>
      </c>
      <c r="W17" s="20">
        <f t="shared" ref="W17:AA17" si="31">W2</f>
        <v>0.2441</v>
      </c>
      <c r="X17" s="20">
        <f t="shared" si="3"/>
        <v>2.3336</v>
      </c>
      <c r="Y17" s="20">
        <f t="shared" si="31"/>
        <v>0.2441</v>
      </c>
      <c r="Z17" s="20">
        <f t="shared" si="4"/>
        <v>2.3336</v>
      </c>
      <c r="AA17" s="20">
        <f t="shared" si="31"/>
        <v>0.1953</v>
      </c>
      <c r="AB17" s="20">
        <f t="shared" si="5"/>
        <v>2.5289</v>
      </c>
      <c r="AC17" s="20">
        <f t="shared" si="6"/>
        <v>110159</v>
      </c>
      <c r="AD17" s="20">
        <f t="shared" si="7"/>
        <v>151441</v>
      </c>
      <c r="AE17" s="20">
        <f t="shared" si="8"/>
        <v>163592</v>
      </c>
      <c r="AF17" s="20">
        <f t="shared" si="9"/>
        <v>230177</v>
      </c>
      <c r="AG17" s="20">
        <f t="shared" si="10"/>
        <v>353402</v>
      </c>
      <c r="AH17" s="20">
        <f>INT(AE17*(T17+U17+0.4441+按提示输入属性!D64*0.1953))</f>
        <v>446426</v>
      </c>
      <c r="AI17" s="20">
        <f t="shared" si="11"/>
        <v>130800</v>
      </c>
      <c r="AJ17" s="20">
        <f t="shared" si="12"/>
        <v>305234</v>
      </c>
      <c r="AK17" s="20">
        <f t="shared" si="13"/>
        <v>141295</v>
      </c>
      <c r="AL17" s="20">
        <f t="shared" si="14"/>
        <v>329726</v>
      </c>
      <c r="AM17" s="20">
        <f t="shared" si="15"/>
        <v>382979</v>
      </c>
      <c r="AN17" s="20">
        <f t="shared" si="16"/>
        <v>413707</v>
      </c>
    </row>
    <row r="18" spans="1:40">
      <c r="A18" s="20" t="str">
        <f>'伤害统计(理想)'!A18</f>
        <v>六合5</v>
      </c>
      <c r="B18" s="20">
        <f>'伤害统计(理想)'!B18</f>
        <v>90</v>
      </c>
      <c r="C18" s="20">
        <f>'伤害统计(理想)'!C18</f>
        <v>34400</v>
      </c>
      <c r="D18" s="20">
        <f>'伤害统计(理想)'!D18</f>
        <v>45792</v>
      </c>
      <c r="E18" s="20">
        <f>'伤害统计(理想)'!E18</f>
        <v>0.854167</v>
      </c>
      <c r="F18" s="20">
        <f>'伤害统计(理想)'!F18</f>
        <v>1</v>
      </c>
      <c r="G18" s="20">
        <f>'伤害统计(理想)'!G18</f>
        <v>0</v>
      </c>
      <c r="H18" s="20">
        <f>'伤害统计(理想)'!H18</f>
        <v>1.4</v>
      </c>
      <c r="I18" s="20">
        <f>'伤害统计(理想)'!I18</f>
        <v>0.05</v>
      </c>
      <c r="J18" s="20">
        <f>'伤害统计(理想)'!J18</f>
        <v>0.472</v>
      </c>
      <c r="K18" s="20">
        <f>'伤害统计(理想)'!K18</f>
        <v>0.1181</v>
      </c>
      <c r="L18" s="20">
        <f>'伤害统计(理想)'!L18</f>
        <v>0.177214436704937</v>
      </c>
      <c r="M18" s="20">
        <f>'伤害统计(理想)'!M18</f>
        <v>0.3473</v>
      </c>
      <c r="N18" s="20">
        <f>'伤害统计(理想)'!N18</f>
        <v>0.2</v>
      </c>
      <c r="O18" s="20">
        <f>'伤害统计(理想)'!O18</f>
        <v>0.4994</v>
      </c>
      <c r="P18" s="27">
        <f>'伤害统计(理想)'!P18-0.05</f>
        <v>-0.05</v>
      </c>
      <c r="Q18" s="27">
        <f t="shared" si="0"/>
        <v>0.4494</v>
      </c>
      <c r="R18" s="27">
        <f>R2</f>
        <v>0.2441</v>
      </c>
      <c r="S18" s="27">
        <f t="shared" si="1"/>
        <v>0.6935</v>
      </c>
      <c r="T18" s="27">
        <f>属性计算面板!B5</f>
        <v>2.0895</v>
      </c>
      <c r="U18" s="27"/>
      <c r="V18" s="20">
        <f t="shared" si="2"/>
        <v>2.0895</v>
      </c>
      <c r="W18" s="20">
        <f t="shared" ref="W18:AA18" si="32">W2</f>
        <v>0.2441</v>
      </c>
      <c r="X18" s="20">
        <f t="shared" si="3"/>
        <v>2.3336</v>
      </c>
      <c r="Y18" s="20">
        <f t="shared" si="32"/>
        <v>0.2441</v>
      </c>
      <c r="Z18" s="20">
        <f t="shared" si="4"/>
        <v>2.3336</v>
      </c>
      <c r="AA18" s="20">
        <f t="shared" si="32"/>
        <v>0.1953</v>
      </c>
      <c r="AB18" s="20">
        <f t="shared" si="5"/>
        <v>2.5289</v>
      </c>
      <c r="AC18" s="20">
        <f t="shared" si="6"/>
        <v>128967</v>
      </c>
      <c r="AD18" s="20">
        <f t="shared" si="7"/>
        <v>177297</v>
      </c>
      <c r="AE18" s="20">
        <f t="shared" si="8"/>
        <v>191522</v>
      </c>
      <c r="AF18" s="20">
        <f t="shared" si="9"/>
        <v>269476</v>
      </c>
      <c r="AG18" s="20">
        <f t="shared" si="10"/>
        <v>413740</v>
      </c>
      <c r="AH18" s="20">
        <f>INT(AE18*(T18+U18+0.4441+按提示输入属性!D64*0.1953))</f>
        <v>522644</v>
      </c>
      <c r="AI18" s="20">
        <f t="shared" si="11"/>
        <v>153132</v>
      </c>
      <c r="AJ18" s="20">
        <f t="shared" si="12"/>
        <v>357348</v>
      </c>
      <c r="AK18" s="20">
        <f t="shared" si="13"/>
        <v>165418</v>
      </c>
      <c r="AL18" s="20">
        <f t="shared" si="14"/>
        <v>386019</v>
      </c>
      <c r="AM18" s="20">
        <f t="shared" si="15"/>
        <v>448366</v>
      </c>
      <c r="AN18" s="20">
        <f t="shared" si="16"/>
        <v>484339</v>
      </c>
    </row>
    <row r="19" spans="1:40">
      <c r="A19" s="20" t="str">
        <f>'伤害统计(理想)'!A19</f>
        <v>破</v>
      </c>
      <c r="B19" s="20">
        <f>'伤害统计(理想)'!B19</f>
        <v>0</v>
      </c>
      <c r="C19" s="20">
        <f>'伤害统计(理想)'!C19</f>
        <v>0</v>
      </c>
      <c r="D19" s="20">
        <f>'伤害统计(理想)'!D19</f>
        <v>21804</v>
      </c>
      <c r="E19" s="20">
        <f>'伤害统计(理想)'!E19</f>
        <v>10.94936</v>
      </c>
      <c r="F19" s="20">
        <f>'伤害统计(理想)'!F19</f>
        <v>1</v>
      </c>
      <c r="G19" s="20">
        <f>'伤害统计(理想)'!G19</f>
        <v>0</v>
      </c>
      <c r="H19" s="20">
        <f>'伤害统计(理想)'!H19</f>
        <v>0</v>
      </c>
      <c r="I19" s="20">
        <f>'伤害统计(理想)'!I19</f>
        <v>0.05</v>
      </c>
      <c r="J19" s="20">
        <f>'伤害统计(理想)'!J19</f>
        <v>0.472</v>
      </c>
      <c r="K19" s="20">
        <f>'伤害统计(理想)'!K19</f>
        <v>0.1181</v>
      </c>
      <c r="L19" s="20">
        <f>'伤害统计(理想)'!L19</f>
        <v>0.177214436704937</v>
      </c>
      <c r="M19" s="20">
        <f>'伤害统计(理想)'!M19</f>
        <v>0.3473</v>
      </c>
      <c r="N19" s="20">
        <f>'伤害统计(理想)'!N19</f>
        <v>0.2</v>
      </c>
      <c r="O19" s="20">
        <f>'伤害统计(理想)'!O19</f>
        <v>0.4994</v>
      </c>
      <c r="P19" s="27">
        <f>'伤害统计(理想)'!P19-0.05</f>
        <v>-0.05</v>
      </c>
      <c r="Q19" s="27">
        <f t="shared" si="0"/>
        <v>0.4494</v>
      </c>
      <c r="R19" s="27">
        <f>R2</f>
        <v>0.2441</v>
      </c>
      <c r="S19" s="27">
        <f t="shared" si="1"/>
        <v>0.6935</v>
      </c>
      <c r="T19" s="27">
        <f>属性计算面板!B5</f>
        <v>2.0895</v>
      </c>
      <c r="V19" s="20">
        <f t="shared" si="2"/>
        <v>2.0895</v>
      </c>
      <c r="W19" s="20">
        <f t="shared" ref="W19:AA19" si="33">W2</f>
        <v>0.2441</v>
      </c>
      <c r="X19" s="20">
        <f t="shared" si="3"/>
        <v>2.3336</v>
      </c>
      <c r="Y19" s="20">
        <f t="shared" si="33"/>
        <v>0.2441</v>
      </c>
      <c r="Z19" s="20">
        <f t="shared" si="4"/>
        <v>2.3336</v>
      </c>
      <c r="AA19" s="20">
        <f t="shared" si="33"/>
        <v>0.1953</v>
      </c>
      <c r="AB19" s="20">
        <f t="shared" si="5"/>
        <v>2.5289</v>
      </c>
      <c r="AC19" s="20">
        <f t="shared" si="6"/>
        <v>327236</v>
      </c>
      <c r="AD19" s="20">
        <f t="shared" si="7"/>
        <v>327237</v>
      </c>
      <c r="AE19" s="20">
        <f t="shared" si="8"/>
        <v>353492</v>
      </c>
      <c r="AF19" s="20">
        <f t="shared" si="9"/>
        <v>683759</v>
      </c>
      <c r="AG19" s="20">
        <f t="shared" si="10"/>
        <v>763640</v>
      </c>
      <c r="AH19" s="20">
        <f t="shared" ref="AH19:AH31" si="34">INT(AE19*(T19+U19+0.4441))</f>
        <v>895607</v>
      </c>
      <c r="AI19" s="20">
        <f t="shared" si="11"/>
        <v>327237</v>
      </c>
      <c r="AJ19" s="20">
        <f t="shared" si="12"/>
        <v>763640</v>
      </c>
      <c r="AK19" s="20">
        <f t="shared" si="13"/>
        <v>353492</v>
      </c>
      <c r="AL19" s="20">
        <f t="shared" si="14"/>
        <v>824908</v>
      </c>
      <c r="AM19" s="20">
        <f t="shared" si="15"/>
        <v>827549</v>
      </c>
      <c r="AN19" s="20">
        <f t="shared" si="16"/>
        <v>893945</v>
      </c>
    </row>
    <row r="20" spans="1:40">
      <c r="A20" s="20" t="str">
        <f>'伤害统计(理想)'!A20</f>
        <v>破(3.5</v>
      </c>
      <c r="B20" s="20">
        <f>'伤害统计(理想)'!B20</f>
        <v>0</v>
      </c>
      <c r="C20" s="20">
        <f>'伤害统计(理想)'!C20</f>
        <v>0</v>
      </c>
      <c r="D20" s="20">
        <f>'伤害统计(理想)'!D20</f>
        <v>21804</v>
      </c>
      <c r="E20" s="20">
        <f>'伤害统计(理想)'!E20</f>
        <v>3.9576</v>
      </c>
      <c r="F20" s="20">
        <f>'伤害统计(理想)'!F20</f>
        <v>1</v>
      </c>
      <c r="G20" s="20">
        <f>'伤害统计(理想)'!G20</f>
        <v>0</v>
      </c>
      <c r="H20" s="20">
        <f>'伤害统计(理想)'!H20</f>
        <v>0</v>
      </c>
      <c r="I20" s="20">
        <f>'伤害统计(理想)'!I20</f>
        <v>0.05</v>
      </c>
      <c r="J20" s="20">
        <f>'伤害统计(理想)'!J20</f>
        <v>0.472</v>
      </c>
      <c r="K20" s="20">
        <f>'伤害统计(理想)'!K20</f>
        <v>0.1181</v>
      </c>
      <c r="L20" s="20">
        <f>'伤害统计(理想)'!L20</f>
        <v>0.177214436704937</v>
      </c>
      <c r="M20" s="20">
        <f>'伤害统计(理想)'!M20</f>
        <v>0.3473</v>
      </c>
      <c r="N20" s="20">
        <f>'伤害统计(理想)'!N20</f>
        <v>0.2</v>
      </c>
      <c r="O20" s="20">
        <f>'伤害统计(理想)'!O20</f>
        <v>0.4994</v>
      </c>
      <c r="P20" s="27">
        <f>'伤害统计(理想)'!P20-0.05</f>
        <v>-0.05</v>
      </c>
      <c r="Q20" s="27">
        <f t="shared" si="0"/>
        <v>0.4494</v>
      </c>
      <c r="R20" s="27">
        <f>R2</f>
        <v>0.2441</v>
      </c>
      <c r="S20" s="27">
        <f t="shared" si="1"/>
        <v>0.6935</v>
      </c>
      <c r="T20" s="27">
        <f>属性计算面板!B5</f>
        <v>2.0895</v>
      </c>
      <c r="U20" s="27"/>
      <c r="V20" s="20">
        <f t="shared" si="2"/>
        <v>2.0895</v>
      </c>
      <c r="W20" s="20">
        <f t="shared" ref="W20:AA20" si="35">W2</f>
        <v>0.2441</v>
      </c>
      <c r="X20" s="20">
        <f t="shared" si="3"/>
        <v>2.3336</v>
      </c>
      <c r="Y20" s="20">
        <f t="shared" si="35"/>
        <v>0.2441</v>
      </c>
      <c r="Z20" s="20">
        <f t="shared" si="4"/>
        <v>2.3336</v>
      </c>
      <c r="AA20" s="20">
        <f t="shared" si="35"/>
        <v>0.1953</v>
      </c>
      <c r="AB20" s="20">
        <f t="shared" si="5"/>
        <v>2.5289</v>
      </c>
      <c r="AC20" s="20">
        <f t="shared" si="6"/>
        <v>118277</v>
      </c>
      <c r="AD20" s="20">
        <f t="shared" si="7"/>
        <v>118278</v>
      </c>
      <c r="AE20" s="20">
        <f t="shared" si="8"/>
        <v>127768</v>
      </c>
      <c r="AF20" s="20">
        <f t="shared" si="9"/>
        <v>247139</v>
      </c>
      <c r="AG20" s="20">
        <f t="shared" si="10"/>
        <v>276013</v>
      </c>
      <c r="AH20" s="20">
        <f t="shared" si="34"/>
        <v>323713</v>
      </c>
      <c r="AI20" s="20">
        <f t="shared" si="11"/>
        <v>118278</v>
      </c>
      <c r="AJ20" s="20">
        <f t="shared" si="12"/>
        <v>276013</v>
      </c>
      <c r="AK20" s="20">
        <f t="shared" si="13"/>
        <v>127768</v>
      </c>
      <c r="AL20" s="20">
        <f t="shared" si="14"/>
        <v>298159</v>
      </c>
      <c r="AM20" s="20">
        <f t="shared" si="15"/>
        <v>299113</v>
      </c>
      <c r="AN20" s="20">
        <f t="shared" si="16"/>
        <v>323112</v>
      </c>
    </row>
    <row r="21" spans="1:40">
      <c r="A21" s="20" t="str">
        <f>'伤害统计(理想)'!A21</f>
        <v>破(万世二段</v>
      </c>
      <c r="B21" s="20">
        <f>'伤害统计(理想)'!B21</f>
        <v>0</v>
      </c>
      <c r="C21" s="20">
        <f>'伤害统计(理想)'!C21</f>
        <v>0</v>
      </c>
      <c r="D21" s="20">
        <f>'伤害统计(理想)'!D21</f>
        <v>21804</v>
      </c>
      <c r="E21" s="20">
        <f>'伤害统计(理想)'!E21</f>
        <v>7.9152</v>
      </c>
      <c r="F21" s="20">
        <f>'伤害统计(理想)'!F21</f>
        <v>1</v>
      </c>
      <c r="G21" s="20">
        <f>'伤害统计(理想)'!G21</f>
        <v>0</v>
      </c>
      <c r="H21" s="20">
        <f>'伤害统计(理想)'!H21</f>
        <v>0</v>
      </c>
      <c r="I21" s="20">
        <f>'伤害统计(理想)'!I21</f>
        <v>0.05</v>
      </c>
      <c r="J21" s="20">
        <f>'伤害统计(理想)'!J21</f>
        <v>0.472</v>
      </c>
      <c r="K21" s="20">
        <f>'伤害统计(理想)'!K21</f>
        <v>0.1181</v>
      </c>
      <c r="L21" s="20">
        <f>'伤害统计(理想)'!L21</f>
        <v>0.177214436704937</v>
      </c>
      <c r="M21" s="20">
        <f>'伤害统计(理想)'!M21</f>
        <v>0.3473</v>
      </c>
      <c r="N21" s="20">
        <f>'伤害统计(理想)'!N21</f>
        <v>0.2</v>
      </c>
      <c r="O21" s="20">
        <f>'伤害统计(理想)'!O21</f>
        <v>0.4994</v>
      </c>
      <c r="P21" s="27">
        <f>'伤害统计(理想)'!P21-0.05</f>
        <v>-0.05</v>
      </c>
      <c r="Q21" s="27">
        <f t="shared" si="0"/>
        <v>0.4494</v>
      </c>
      <c r="R21" s="27">
        <f>R2</f>
        <v>0.2441</v>
      </c>
      <c r="S21" s="27">
        <f t="shared" si="1"/>
        <v>0.6935</v>
      </c>
      <c r="T21" s="27">
        <f>属性计算面板!B5</f>
        <v>2.0895</v>
      </c>
      <c r="U21" s="27"/>
      <c r="V21" s="20">
        <f t="shared" si="2"/>
        <v>2.0895</v>
      </c>
      <c r="W21" s="20">
        <f t="shared" ref="W21:AA21" si="36">W2</f>
        <v>0.2441</v>
      </c>
      <c r="X21" s="20">
        <f t="shared" si="3"/>
        <v>2.3336</v>
      </c>
      <c r="Y21" s="20">
        <f t="shared" si="36"/>
        <v>0.2441</v>
      </c>
      <c r="Z21" s="20">
        <f t="shared" si="4"/>
        <v>2.3336</v>
      </c>
      <c r="AA21" s="20">
        <f t="shared" si="36"/>
        <v>0.1953</v>
      </c>
      <c r="AB21" s="20">
        <f t="shared" si="5"/>
        <v>2.5289</v>
      </c>
      <c r="AC21" s="20">
        <f t="shared" si="6"/>
        <v>236557</v>
      </c>
      <c r="AD21" s="20">
        <f t="shared" si="7"/>
        <v>236557</v>
      </c>
      <c r="AE21" s="20">
        <f t="shared" si="8"/>
        <v>255536</v>
      </c>
      <c r="AF21" s="20">
        <f t="shared" si="9"/>
        <v>494285</v>
      </c>
      <c r="AG21" s="20">
        <f t="shared" si="10"/>
        <v>552029</v>
      </c>
      <c r="AH21" s="20">
        <f t="shared" si="34"/>
        <v>647426</v>
      </c>
      <c r="AI21" s="20">
        <f t="shared" si="11"/>
        <v>236557</v>
      </c>
      <c r="AJ21" s="20">
        <f t="shared" si="12"/>
        <v>552029</v>
      </c>
      <c r="AK21" s="20">
        <f t="shared" si="13"/>
        <v>255536</v>
      </c>
      <c r="AL21" s="20">
        <f t="shared" si="14"/>
        <v>596318</v>
      </c>
      <c r="AM21" s="20">
        <f t="shared" si="15"/>
        <v>598228</v>
      </c>
      <c r="AN21" s="20">
        <f t="shared" si="16"/>
        <v>646224</v>
      </c>
    </row>
    <row r="22" spans="1:40">
      <c r="A22" s="20" t="str">
        <f>'伤害统计(理想)'!A22</f>
        <v>三才化生</v>
      </c>
      <c r="B22" s="20">
        <f>'伤害统计(理想)'!B22</f>
        <v>81</v>
      </c>
      <c r="C22" s="20">
        <f>'伤害统计(理想)'!C22</f>
        <v>34400</v>
      </c>
      <c r="D22" s="20">
        <f>'伤害统计(理想)'!D22</f>
        <v>45792</v>
      </c>
      <c r="E22" s="20">
        <f>'伤害统计(理想)'!E22</f>
        <v>0.08</v>
      </c>
      <c r="F22" s="20">
        <f>'伤害统计(理想)'!F22</f>
        <v>1</v>
      </c>
      <c r="G22" s="20">
        <f>'伤害统计(理想)'!G22</f>
        <v>0</v>
      </c>
      <c r="H22" s="20">
        <f>'伤害统计(理想)'!H22</f>
        <v>0</v>
      </c>
      <c r="I22" s="20">
        <f>'伤害统计(理想)'!I22</f>
        <v>0.05</v>
      </c>
      <c r="J22" s="20">
        <f>'伤害统计(理想)'!J22</f>
        <v>0.472</v>
      </c>
      <c r="K22" s="20">
        <f>'伤害统计(理想)'!K22</f>
        <v>0.1181</v>
      </c>
      <c r="L22" s="20">
        <f>'伤害统计(理想)'!L22</f>
        <v>0.177214436704937</v>
      </c>
      <c r="M22" s="20">
        <f>'伤害统计(理想)'!M22</f>
        <v>0.3473</v>
      </c>
      <c r="N22" s="20">
        <f>'伤害统计(理想)'!N22</f>
        <v>0.2</v>
      </c>
      <c r="O22" s="20">
        <f>'伤害统计(理想)'!O22</f>
        <v>0.4994</v>
      </c>
      <c r="P22" s="27">
        <f>'伤害统计(理想)'!P22-0.05</f>
        <v>-0.05</v>
      </c>
      <c r="Q22" s="27">
        <f t="shared" si="0"/>
        <v>0.4494</v>
      </c>
      <c r="R22" s="27">
        <f>R2</f>
        <v>0.2441</v>
      </c>
      <c r="S22" s="27">
        <f t="shared" si="1"/>
        <v>0.6935</v>
      </c>
      <c r="T22" s="27">
        <f>属性计算面板!B5</f>
        <v>2.0895</v>
      </c>
      <c r="U22" s="27"/>
      <c r="V22" s="20">
        <f t="shared" si="2"/>
        <v>2.0895</v>
      </c>
      <c r="W22" s="20">
        <f t="shared" ref="W22:AA22" si="37">W2</f>
        <v>0.2441</v>
      </c>
      <c r="X22" s="20">
        <f t="shared" si="3"/>
        <v>2.3336</v>
      </c>
      <c r="Y22" s="20">
        <f t="shared" si="37"/>
        <v>0.2441</v>
      </c>
      <c r="Z22" s="20">
        <f t="shared" si="4"/>
        <v>2.3336</v>
      </c>
      <c r="AA22" s="20">
        <f t="shared" si="37"/>
        <v>0.1953</v>
      </c>
      <c r="AB22" s="20">
        <f t="shared" si="5"/>
        <v>2.5289</v>
      </c>
      <c r="AC22" s="20">
        <f t="shared" si="6"/>
        <v>5131</v>
      </c>
      <c r="AD22" s="20">
        <f t="shared" si="7"/>
        <v>7018</v>
      </c>
      <c r="AE22" s="20">
        <f t="shared" si="8"/>
        <v>7581</v>
      </c>
      <c r="AF22" s="20">
        <f t="shared" si="9"/>
        <v>10721</v>
      </c>
      <c r="AG22" s="20">
        <f t="shared" si="10"/>
        <v>16377</v>
      </c>
      <c r="AH22" s="20">
        <f t="shared" si="34"/>
        <v>19207</v>
      </c>
      <c r="AI22" s="20">
        <f t="shared" si="11"/>
        <v>6075</v>
      </c>
      <c r="AJ22" s="20">
        <f t="shared" si="12"/>
        <v>14176</v>
      </c>
      <c r="AK22" s="20">
        <f t="shared" si="13"/>
        <v>6562</v>
      </c>
      <c r="AL22" s="20">
        <f t="shared" si="14"/>
        <v>15313</v>
      </c>
      <c r="AM22" s="20">
        <f t="shared" si="15"/>
        <v>17747</v>
      </c>
      <c r="AN22" s="20">
        <f t="shared" si="16"/>
        <v>19171</v>
      </c>
    </row>
    <row r="23" spans="1:40">
      <c r="A23" s="20" t="str">
        <f>'伤害统计(理想)'!A23</f>
        <v>厚亡</v>
      </c>
      <c r="B23" s="20">
        <f>'伤害统计(理想)'!B23</f>
        <v>35</v>
      </c>
      <c r="C23" s="20">
        <f>'伤害统计(理想)'!C23</f>
        <v>34400</v>
      </c>
      <c r="D23" s="20">
        <f>'伤害统计(理想)'!D23</f>
        <v>45792</v>
      </c>
      <c r="E23" s="20">
        <f>'伤害统计(理想)'!E23</f>
        <v>1.625</v>
      </c>
      <c r="F23" s="20">
        <f>'伤害统计(理想)'!F23</f>
        <v>1</v>
      </c>
      <c r="G23" s="20">
        <f>'伤害统计(理想)'!G23</f>
        <v>0</v>
      </c>
      <c r="H23" s="20">
        <f>'伤害统计(理想)'!H23</f>
        <v>0</v>
      </c>
      <c r="I23" s="20">
        <f>'伤害统计(理想)'!I23</f>
        <v>0.05</v>
      </c>
      <c r="J23" s="20">
        <f>'伤害统计(理想)'!J23</f>
        <v>0.472</v>
      </c>
      <c r="K23" s="20">
        <f>'伤害统计(理想)'!K23</f>
        <v>0.1181</v>
      </c>
      <c r="L23" s="20">
        <f>'伤害统计(理想)'!L23</f>
        <v>0.177214436704937</v>
      </c>
      <c r="M23" s="20">
        <f>'伤害统计(理想)'!M23</f>
        <v>0.3473</v>
      </c>
      <c r="N23" s="20">
        <f>'伤害统计(理想)'!N23</f>
        <v>0.2</v>
      </c>
      <c r="O23" s="20">
        <f>'伤害统计(理想)'!O23</f>
        <v>0.4994</v>
      </c>
      <c r="P23" s="27">
        <f>'伤害统计(理想)'!P23-0.05</f>
        <v>-0.05</v>
      </c>
      <c r="Q23" s="27">
        <f t="shared" si="0"/>
        <v>0.4494</v>
      </c>
      <c r="R23" s="27">
        <f>R2</f>
        <v>0.2441</v>
      </c>
      <c r="S23" s="27">
        <f t="shared" si="1"/>
        <v>0.6935</v>
      </c>
      <c r="T23" s="27">
        <f>属性计算面板!B5</f>
        <v>2.0895</v>
      </c>
      <c r="U23" s="27"/>
      <c r="V23" s="20">
        <f t="shared" si="2"/>
        <v>2.0895</v>
      </c>
      <c r="W23" s="20">
        <f t="shared" ref="W23:AA23" si="38">W2</f>
        <v>0.2441</v>
      </c>
      <c r="X23" s="20">
        <f t="shared" si="3"/>
        <v>2.3336</v>
      </c>
      <c r="Y23" s="20">
        <f t="shared" si="38"/>
        <v>0.2441</v>
      </c>
      <c r="Z23" s="20">
        <f t="shared" si="4"/>
        <v>2.3336</v>
      </c>
      <c r="AA23" s="20">
        <f t="shared" si="38"/>
        <v>0.1953</v>
      </c>
      <c r="AB23" s="20">
        <f t="shared" si="5"/>
        <v>2.5289</v>
      </c>
      <c r="AC23" s="20">
        <f t="shared" si="6"/>
        <v>102043</v>
      </c>
      <c r="AD23" s="20">
        <f t="shared" si="7"/>
        <v>140354</v>
      </c>
      <c r="AE23" s="20">
        <f t="shared" si="8"/>
        <v>151614</v>
      </c>
      <c r="AF23" s="20">
        <f t="shared" si="9"/>
        <v>213218</v>
      </c>
      <c r="AG23" s="20">
        <f t="shared" si="10"/>
        <v>327530</v>
      </c>
      <c r="AH23" s="20">
        <f t="shared" si="34"/>
        <v>384129</v>
      </c>
      <c r="AI23" s="20">
        <f t="shared" si="11"/>
        <v>121198</v>
      </c>
      <c r="AJ23" s="20">
        <f t="shared" si="12"/>
        <v>282827</v>
      </c>
      <c r="AK23" s="20">
        <f t="shared" si="13"/>
        <v>130922</v>
      </c>
      <c r="AL23" s="20">
        <f t="shared" si="14"/>
        <v>305519</v>
      </c>
      <c r="AM23" s="20">
        <f t="shared" si="15"/>
        <v>354941</v>
      </c>
      <c r="AN23" s="20">
        <f t="shared" si="16"/>
        <v>383416</v>
      </c>
    </row>
    <row r="24" spans="1:40">
      <c r="A24" s="20" t="str">
        <f>'伤害统计(理想)'!A24</f>
        <v>刃凌</v>
      </c>
      <c r="B24" s="20">
        <f>'伤害统计(理想)'!B24</f>
        <v>48</v>
      </c>
      <c r="C24" s="20">
        <f>'伤害统计(理想)'!C24</f>
        <v>34400</v>
      </c>
      <c r="D24" s="20">
        <f>'伤害统计(理想)'!D24</f>
        <v>45792</v>
      </c>
      <c r="E24" s="20">
        <f>'伤害统计(理想)'!E24</f>
        <v>0.260417</v>
      </c>
      <c r="F24" s="20">
        <f>'伤害统计(理想)'!F24</f>
        <v>1</v>
      </c>
      <c r="G24" s="20">
        <f>'伤害统计(理想)'!G24</f>
        <v>0</v>
      </c>
      <c r="H24" s="20">
        <f>'伤害统计(理想)'!H24</f>
        <v>0</v>
      </c>
      <c r="I24" s="20">
        <f>'伤害统计(理想)'!I24</f>
        <v>0.05</v>
      </c>
      <c r="J24" s="20">
        <f>'伤害统计(理想)'!J24</f>
        <v>0.472</v>
      </c>
      <c r="K24" s="20">
        <f>'伤害统计(理想)'!K24</f>
        <v>0.1181</v>
      </c>
      <c r="L24" s="20">
        <f>'伤害统计(理想)'!L24</f>
        <v>0.177214436704937</v>
      </c>
      <c r="M24" s="20">
        <f>'伤害统计(理想)'!M24</f>
        <v>0.3473</v>
      </c>
      <c r="N24" s="20">
        <f>'伤害统计(理想)'!N24</f>
        <v>0.2</v>
      </c>
      <c r="O24" s="20">
        <f>'伤害统计(理想)'!O24</f>
        <v>0.4994</v>
      </c>
      <c r="P24" s="27">
        <f>'伤害统计(理想)'!P24-0.05</f>
        <v>-0.05</v>
      </c>
      <c r="Q24" s="27">
        <f t="shared" si="0"/>
        <v>0.4494</v>
      </c>
      <c r="R24" s="27">
        <f>R2</f>
        <v>0.2441</v>
      </c>
      <c r="S24" s="27">
        <f t="shared" si="1"/>
        <v>0.6935</v>
      </c>
      <c r="T24" s="27">
        <f>属性计算面板!B5</f>
        <v>2.0895</v>
      </c>
      <c r="U24" s="27"/>
      <c r="V24" s="20">
        <f t="shared" si="2"/>
        <v>2.0895</v>
      </c>
      <c r="W24" s="20">
        <f t="shared" ref="W24:AA24" si="39">W2</f>
        <v>0.2441</v>
      </c>
      <c r="X24" s="20">
        <f t="shared" si="3"/>
        <v>2.3336</v>
      </c>
      <c r="Y24" s="20">
        <f t="shared" si="39"/>
        <v>0.2441</v>
      </c>
      <c r="Z24" s="20">
        <f t="shared" si="4"/>
        <v>2.3336</v>
      </c>
      <c r="AA24" s="20">
        <f t="shared" si="39"/>
        <v>0.1953</v>
      </c>
      <c r="AB24" s="20">
        <f t="shared" si="5"/>
        <v>2.5289</v>
      </c>
      <c r="AC24" s="20">
        <f t="shared" si="6"/>
        <v>16411</v>
      </c>
      <c r="AD24" s="20">
        <f t="shared" si="7"/>
        <v>22550</v>
      </c>
      <c r="AE24" s="20">
        <f t="shared" si="8"/>
        <v>24360</v>
      </c>
      <c r="AF24" s="20">
        <f t="shared" si="9"/>
        <v>34290</v>
      </c>
      <c r="AG24" s="20">
        <f t="shared" si="10"/>
        <v>52622</v>
      </c>
      <c r="AH24" s="20">
        <f t="shared" si="34"/>
        <v>61718</v>
      </c>
      <c r="AI24" s="20">
        <f t="shared" si="11"/>
        <v>19481</v>
      </c>
      <c r="AJ24" s="20">
        <f t="shared" si="12"/>
        <v>45460</v>
      </c>
      <c r="AK24" s="20">
        <f t="shared" si="13"/>
        <v>21043</v>
      </c>
      <c r="AL24" s="20">
        <f t="shared" si="14"/>
        <v>49105</v>
      </c>
      <c r="AM24" s="20">
        <f t="shared" si="15"/>
        <v>57026</v>
      </c>
      <c r="AN24" s="20">
        <f t="shared" si="16"/>
        <v>61604</v>
      </c>
    </row>
    <row r="25" spans="1:40">
      <c r="A25" s="20" t="str">
        <f>'伤害统计(理想)'!A25</f>
        <v>昆吾·弦刃</v>
      </c>
      <c r="B25" s="20">
        <f>'伤害统计(理想)'!B25</f>
        <v>48</v>
      </c>
      <c r="C25" s="20">
        <f>'伤害统计(理想)'!C25</f>
        <v>34400</v>
      </c>
      <c r="D25" s="20">
        <f>'伤害统计(理想)'!D25</f>
        <v>45792</v>
      </c>
      <c r="E25" s="20">
        <f>'伤害统计(理想)'!E25</f>
        <v>0.46875</v>
      </c>
      <c r="F25" s="20">
        <f>'伤害统计(理想)'!F25</f>
        <v>1</v>
      </c>
      <c r="G25" s="20">
        <f>'伤害统计(理想)'!G25</f>
        <v>0</v>
      </c>
      <c r="H25" s="20">
        <f>'伤害统计(理想)'!H25</f>
        <v>0</v>
      </c>
      <c r="I25" s="20">
        <f>'伤害统计(理想)'!I25</f>
        <v>0.05</v>
      </c>
      <c r="J25" s="20">
        <f>'伤害统计(理想)'!J25</f>
        <v>0.472</v>
      </c>
      <c r="K25" s="20">
        <f>'伤害统计(理想)'!K25</f>
        <v>0.1181</v>
      </c>
      <c r="L25" s="20">
        <f>'伤害统计(理想)'!L25</f>
        <v>0.177214436704937</v>
      </c>
      <c r="M25" s="20">
        <f>'伤害统计(理想)'!M25</f>
        <v>0.3473</v>
      </c>
      <c r="N25" s="20">
        <f>'伤害统计(理想)'!N25</f>
        <v>0.2</v>
      </c>
      <c r="O25" s="20">
        <f>'伤害统计(理想)'!O25</f>
        <v>0.4994</v>
      </c>
      <c r="P25" s="27">
        <f>'伤害统计(理想)'!P25-0.05</f>
        <v>-0.05</v>
      </c>
      <c r="Q25" s="27">
        <f t="shared" si="0"/>
        <v>0.4494</v>
      </c>
      <c r="R25" s="27">
        <f>R2</f>
        <v>0.2441</v>
      </c>
      <c r="S25" s="27">
        <f t="shared" si="1"/>
        <v>0.6935</v>
      </c>
      <c r="T25" s="27">
        <f>属性计算面板!B5</f>
        <v>2.0895</v>
      </c>
      <c r="U25" s="27"/>
      <c r="V25" s="20">
        <f t="shared" si="2"/>
        <v>2.0895</v>
      </c>
      <c r="W25" s="20">
        <f t="shared" ref="W25:AA25" si="40">W2</f>
        <v>0.2441</v>
      </c>
      <c r="X25" s="20">
        <f t="shared" si="3"/>
        <v>2.3336</v>
      </c>
      <c r="Y25" s="20">
        <f t="shared" si="40"/>
        <v>0.2441</v>
      </c>
      <c r="Z25" s="20">
        <f t="shared" si="4"/>
        <v>2.3336</v>
      </c>
      <c r="AA25" s="20">
        <f t="shared" si="40"/>
        <v>0.1953</v>
      </c>
      <c r="AB25" s="20">
        <f t="shared" si="5"/>
        <v>2.5289</v>
      </c>
      <c r="AC25" s="20">
        <f t="shared" si="6"/>
        <v>29487</v>
      </c>
      <c r="AD25" s="20">
        <f t="shared" si="7"/>
        <v>40538</v>
      </c>
      <c r="AE25" s="20">
        <f t="shared" si="8"/>
        <v>43791</v>
      </c>
      <c r="AF25" s="20">
        <f t="shared" si="9"/>
        <v>61613</v>
      </c>
      <c r="AG25" s="20">
        <f t="shared" si="10"/>
        <v>94599</v>
      </c>
      <c r="AH25" s="20">
        <f t="shared" si="34"/>
        <v>110948</v>
      </c>
      <c r="AI25" s="20">
        <f t="shared" si="11"/>
        <v>35013</v>
      </c>
      <c r="AJ25" s="20">
        <f t="shared" si="12"/>
        <v>81706</v>
      </c>
      <c r="AK25" s="20">
        <f t="shared" si="13"/>
        <v>37822</v>
      </c>
      <c r="AL25" s="20">
        <f t="shared" si="14"/>
        <v>88261</v>
      </c>
      <c r="AM25" s="20">
        <f t="shared" si="15"/>
        <v>102516</v>
      </c>
      <c r="AN25" s="20">
        <f t="shared" si="16"/>
        <v>110743</v>
      </c>
    </row>
    <row r="26" spans="1:40">
      <c r="A26" s="20" t="str">
        <f>'伤害统计(理想)'!A26</f>
        <v>腾空·三才</v>
      </c>
      <c r="B26" s="20">
        <f>'伤害统计(理想)'!B26</f>
        <v>550865</v>
      </c>
      <c r="C26" s="20">
        <f>'伤害统计(理想)'!C26</f>
        <v>34400</v>
      </c>
      <c r="D26" s="20">
        <f>'伤害统计(理想)'!D26</f>
        <v>0</v>
      </c>
      <c r="E26" s="20">
        <f>'伤害统计(理想)'!E26</f>
        <v>1</v>
      </c>
      <c r="F26" s="20">
        <f>'伤害统计(理想)'!F26</f>
        <v>1</v>
      </c>
      <c r="G26" s="20">
        <f>'伤害统计(理想)'!G26</f>
        <v>0</v>
      </c>
      <c r="H26" s="20">
        <f>'伤害统计(理想)'!H26</f>
        <v>0</v>
      </c>
      <c r="I26" s="20">
        <f>'伤害统计(理想)'!I26</f>
        <v>0.05</v>
      </c>
      <c r="J26" s="20">
        <f>'伤害统计(理想)'!J26</f>
        <v>0.472</v>
      </c>
      <c r="K26" s="20">
        <f>'伤害统计(理想)'!K26</f>
        <v>0.1181</v>
      </c>
      <c r="L26" s="20">
        <f>'伤害统计(理想)'!L26</f>
        <v>0.177214436704937</v>
      </c>
      <c r="M26" s="20">
        <f>'伤害统计(理想)'!M26</f>
        <v>0.3473</v>
      </c>
      <c r="N26" s="20">
        <f>'伤害统计(理想)'!N26</f>
        <v>0.2</v>
      </c>
      <c r="O26" s="20">
        <f>'伤害统计(理想)'!O26</f>
        <v>0.4994</v>
      </c>
      <c r="P26" s="27">
        <f>'伤害统计(理想)'!P26-0.05</f>
        <v>-0.05</v>
      </c>
      <c r="Q26" s="27">
        <f t="shared" si="0"/>
        <v>0.4494</v>
      </c>
      <c r="R26" s="27">
        <f>R2</f>
        <v>0.2441</v>
      </c>
      <c r="S26" s="27">
        <f t="shared" si="1"/>
        <v>0.6935</v>
      </c>
      <c r="T26" s="20">
        <f>属性计算面板!B5</f>
        <v>2.0895</v>
      </c>
      <c r="V26" s="20">
        <f t="shared" si="2"/>
        <v>2.0895</v>
      </c>
      <c r="W26" s="20">
        <f t="shared" ref="W26:AA26" si="41">W2</f>
        <v>0.2441</v>
      </c>
      <c r="X26" s="20">
        <f t="shared" si="3"/>
        <v>2.3336</v>
      </c>
      <c r="Y26" s="20">
        <f t="shared" si="41"/>
        <v>0.2441</v>
      </c>
      <c r="Z26" s="20">
        <f t="shared" si="4"/>
        <v>2.3336</v>
      </c>
      <c r="AA26" s="20">
        <f t="shared" si="41"/>
        <v>0.1953</v>
      </c>
      <c r="AB26" s="20">
        <f t="shared" si="5"/>
        <v>2.5289</v>
      </c>
      <c r="AC26" s="20">
        <f t="shared" si="6"/>
        <v>755063</v>
      </c>
      <c r="AD26" s="20">
        <f t="shared" si="7"/>
        <v>778638</v>
      </c>
      <c r="AE26" s="20">
        <f t="shared" si="8"/>
        <v>841109</v>
      </c>
      <c r="AF26" s="20">
        <f t="shared" si="9"/>
        <v>1577704</v>
      </c>
      <c r="AG26" s="20">
        <f t="shared" si="10"/>
        <v>1817029</v>
      </c>
      <c r="AH26" s="20">
        <f t="shared" si="34"/>
        <v>2131033</v>
      </c>
      <c r="AI26" s="20">
        <f t="shared" si="11"/>
        <v>766851</v>
      </c>
      <c r="AJ26" s="20">
        <f t="shared" si="12"/>
        <v>1789523</v>
      </c>
      <c r="AK26" s="20">
        <f t="shared" si="13"/>
        <v>828376</v>
      </c>
      <c r="AL26" s="20">
        <f t="shared" si="14"/>
        <v>1933098</v>
      </c>
      <c r="AM26" s="20">
        <f t="shared" si="15"/>
        <v>1969097</v>
      </c>
      <c r="AN26" s="20">
        <f t="shared" si="16"/>
        <v>2127080</v>
      </c>
    </row>
    <row r="27" spans="1:40">
      <c r="A27" s="20" t="str">
        <f>'伤害统计(理想)'!A27</f>
        <v>腾空·凭虚</v>
      </c>
      <c r="B27" s="20">
        <f>'伤害统计(理想)'!B27</f>
        <v>568199</v>
      </c>
      <c r="C27" s="20">
        <f>'伤害统计(理想)'!C27</f>
        <v>34400</v>
      </c>
      <c r="D27" s="20">
        <f>'伤害统计(理想)'!D27</f>
        <v>0</v>
      </c>
      <c r="E27" s="20">
        <f>'伤害统计(理想)'!E27</f>
        <v>1</v>
      </c>
      <c r="F27" s="20">
        <f>'伤害统计(理想)'!F27</f>
        <v>1</v>
      </c>
      <c r="G27" s="20">
        <f>'伤害统计(理想)'!G27</f>
        <v>0</v>
      </c>
      <c r="H27" s="20">
        <f>'伤害统计(理想)'!H27</f>
        <v>0</v>
      </c>
      <c r="I27" s="20">
        <f>'伤害统计(理想)'!I27</f>
        <v>0.05</v>
      </c>
      <c r="J27" s="20">
        <f>'伤害统计(理想)'!J27</f>
        <v>0.472</v>
      </c>
      <c r="K27" s="20">
        <f>'伤害统计(理想)'!K27</f>
        <v>0.1181</v>
      </c>
      <c r="L27" s="20">
        <f>'伤害统计(理想)'!L27</f>
        <v>0.177214436704937</v>
      </c>
      <c r="M27" s="20">
        <f>'伤害统计(理想)'!M27</f>
        <v>0.3473</v>
      </c>
      <c r="N27" s="20">
        <f>'伤害统计(理想)'!N27</f>
        <v>0.2</v>
      </c>
      <c r="O27" s="20">
        <f>'伤害统计(理想)'!O27</f>
        <v>1</v>
      </c>
      <c r="P27" s="27">
        <f>'伤害统计(理想)'!P27</f>
        <v>0</v>
      </c>
      <c r="Q27" s="27">
        <f t="shared" si="0"/>
        <v>1</v>
      </c>
      <c r="R27" s="27">
        <f>R2</f>
        <v>0.2441</v>
      </c>
      <c r="S27" s="27">
        <f t="shared" si="1"/>
        <v>1</v>
      </c>
      <c r="T27" s="20">
        <f>属性计算面板!B5</f>
        <v>2.0895</v>
      </c>
      <c r="V27" s="20">
        <f t="shared" si="2"/>
        <v>2.0895</v>
      </c>
      <c r="W27" s="20">
        <f t="shared" ref="W27:AA27" si="42">W2</f>
        <v>0.2441</v>
      </c>
      <c r="X27" s="20">
        <f t="shared" si="3"/>
        <v>2.3336</v>
      </c>
      <c r="Y27" s="20">
        <f t="shared" si="42"/>
        <v>0.2441</v>
      </c>
      <c r="Z27" s="20">
        <f t="shared" si="4"/>
        <v>2.3336</v>
      </c>
      <c r="AA27" s="20">
        <f t="shared" si="42"/>
        <v>0.1953</v>
      </c>
      <c r="AB27" s="20">
        <f t="shared" si="5"/>
        <v>2.5289</v>
      </c>
      <c r="AC27" s="20">
        <f t="shared" si="6"/>
        <v>778822</v>
      </c>
      <c r="AD27" s="20">
        <f t="shared" si="7"/>
        <v>802398</v>
      </c>
      <c r="AE27" s="20">
        <f t="shared" si="8"/>
        <v>866775</v>
      </c>
      <c r="AF27" s="20">
        <f t="shared" si="9"/>
        <v>1627348</v>
      </c>
      <c r="AG27" s="20">
        <f t="shared" si="10"/>
        <v>1872475</v>
      </c>
      <c r="AH27" s="20">
        <f t="shared" si="34"/>
        <v>2196061</v>
      </c>
      <c r="AI27" s="20">
        <f t="shared" si="11"/>
        <v>790610</v>
      </c>
      <c r="AJ27" s="20">
        <f t="shared" si="12"/>
        <v>1844967</v>
      </c>
      <c r="AK27" s="20">
        <f t="shared" si="13"/>
        <v>854041</v>
      </c>
      <c r="AL27" s="20">
        <f t="shared" si="14"/>
        <v>1992990</v>
      </c>
      <c r="AM27" s="20">
        <f t="shared" si="15"/>
        <v>2029184</v>
      </c>
      <c r="AN27" s="20">
        <f t="shared" si="16"/>
        <v>2191987</v>
      </c>
    </row>
    <row r="28" spans="1:40">
      <c r="A28" s="20" t="str">
        <f>'伤害统计(理想)'!A28</f>
        <v>腾空·凭虚·定</v>
      </c>
      <c r="B28" s="20">
        <f>'伤害统计(理想)'!B28</f>
        <v>141299</v>
      </c>
      <c r="C28" s="20">
        <f>'伤害统计(理想)'!C28</f>
        <v>34400</v>
      </c>
      <c r="D28" s="20">
        <f>'伤害统计(理想)'!D28</f>
        <v>0</v>
      </c>
      <c r="E28" s="20">
        <f>'伤害统计(理想)'!E28</f>
        <v>1</v>
      </c>
      <c r="F28" s="20">
        <f>'伤害统计(理想)'!F28</f>
        <v>1</v>
      </c>
      <c r="G28" s="20">
        <f>'伤害统计(理想)'!G28</f>
        <v>0</v>
      </c>
      <c r="H28" s="20">
        <f>'伤害统计(理想)'!H28</f>
        <v>0</v>
      </c>
      <c r="I28" s="20">
        <f>'伤害统计(理想)'!I28</f>
        <v>0.05</v>
      </c>
      <c r="J28" s="20">
        <f>'伤害统计(理想)'!J28</f>
        <v>0.472</v>
      </c>
      <c r="K28" s="20">
        <f>'伤害统计(理想)'!K28</f>
        <v>0.1181</v>
      </c>
      <c r="L28" s="20">
        <f>'伤害统计(理想)'!L28</f>
        <v>0.177214436704937</v>
      </c>
      <c r="M28" s="20">
        <f>'伤害统计(理想)'!M28</f>
        <v>0.3473</v>
      </c>
      <c r="N28" s="20">
        <f>'伤害统计(理想)'!N28</f>
        <v>0.2</v>
      </c>
      <c r="O28" s="20">
        <f>'伤害统计(理想)'!O28</f>
        <v>0.4994</v>
      </c>
      <c r="P28" s="27">
        <f>'伤害统计(理想)'!P28-0.05</f>
        <v>-0.05</v>
      </c>
      <c r="Q28" s="27">
        <f t="shared" si="0"/>
        <v>0.4494</v>
      </c>
      <c r="R28" s="27">
        <f>R2</f>
        <v>0.2441</v>
      </c>
      <c r="S28" s="27">
        <f t="shared" si="1"/>
        <v>0.6935</v>
      </c>
      <c r="T28" s="20">
        <f>属性计算面板!B5</f>
        <v>2.0895</v>
      </c>
      <c r="V28" s="20">
        <f t="shared" si="2"/>
        <v>2.0895</v>
      </c>
      <c r="W28" s="20">
        <f t="shared" ref="W28:AA28" si="43">W2</f>
        <v>0.2441</v>
      </c>
      <c r="X28" s="20">
        <f t="shared" si="3"/>
        <v>2.3336</v>
      </c>
      <c r="Y28" s="20">
        <f t="shared" si="43"/>
        <v>0.2441</v>
      </c>
      <c r="Z28" s="20">
        <f t="shared" si="4"/>
        <v>2.3336</v>
      </c>
      <c r="AA28" s="20">
        <f t="shared" si="43"/>
        <v>0.1953</v>
      </c>
      <c r="AB28" s="20">
        <f t="shared" si="5"/>
        <v>2.5289</v>
      </c>
      <c r="AC28" s="20">
        <f t="shared" si="6"/>
        <v>193676</v>
      </c>
      <c r="AD28" s="20">
        <f t="shared" si="7"/>
        <v>217252</v>
      </c>
      <c r="AE28" s="20">
        <f t="shared" si="8"/>
        <v>234682</v>
      </c>
      <c r="AF28" s="20">
        <f t="shared" si="9"/>
        <v>404686</v>
      </c>
      <c r="AG28" s="20">
        <f t="shared" si="10"/>
        <v>506979</v>
      </c>
      <c r="AH28" s="20">
        <f t="shared" si="34"/>
        <v>594590</v>
      </c>
      <c r="AI28" s="20">
        <f t="shared" si="11"/>
        <v>205464</v>
      </c>
      <c r="AJ28" s="20">
        <f t="shared" si="12"/>
        <v>479470</v>
      </c>
      <c r="AK28" s="20">
        <f t="shared" si="13"/>
        <v>221949</v>
      </c>
      <c r="AL28" s="20">
        <f t="shared" si="14"/>
        <v>517940</v>
      </c>
      <c r="AM28" s="20">
        <f t="shared" si="15"/>
        <v>549408</v>
      </c>
      <c r="AN28" s="20">
        <f t="shared" si="16"/>
        <v>593487</v>
      </c>
    </row>
    <row r="29" spans="1:40">
      <c r="A29" s="20" t="str">
        <f>'伤害统计(理想)'!A29</f>
        <v>气竭(DOT)</v>
      </c>
      <c r="B29" s="20">
        <f>'伤害统计(理想)'!B29</f>
        <v>50</v>
      </c>
      <c r="C29" s="20">
        <f>'伤害统计(理想)'!C29</f>
        <v>34400</v>
      </c>
      <c r="D29" s="20">
        <f>'伤害统计(理想)'!D29</f>
        <v>45792</v>
      </c>
      <c r="E29" s="20">
        <f>'伤害统计(理想)'!E29</f>
        <v>0.5078125</v>
      </c>
      <c r="F29" s="20">
        <f>'伤害统计(理想)'!F29</f>
        <v>1</v>
      </c>
      <c r="G29" s="20">
        <f>'伤害统计(理想)'!G29</f>
        <v>0</v>
      </c>
      <c r="H29" s="20">
        <f>'伤害统计(理想)'!H29</f>
        <v>0</v>
      </c>
      <c r="I29" s="20">
        <f>'伤害统计(理想)'!I29</f>
        <v>0.05</v>
      </c>
      <c r="J29" s="20">
        <f>'伤害统计(理想)'!J29</f>
        <v>0.472</v>
      </c>
      <c r="K29" s="20">
        <f>'伤害统计(理想)'!K29</f>
        <v>0.1181</v>
      </c>
      <c r="L29" s="20">
        <f>'伤害统计(理想)'!L29</f>
        <v>0.177214436704937</v>
      </c>
      <c r="M29" s="20">
        <f>'伤害统计(理想)'!M29</f>
        <v>0.3473</v>
      </c>
      <c r="N29" s="20">
        <f>'伤害统计(理想)'!N29</f>
        <v>0.2</v>
      </c>
      <c r="O29" s="20">
        <f>'伤害统计(理想)'!O29</f>
        <v>0.4994</v>
      </c>
      <c r="P29" s="27">
        <f>'伤害统计(理想)'!P29-0.05</f>
        <v>-0.05</v>
      </c>
      <c r="Q29" s="27">
        <f t="shared" si="0"/>
        <v>0.4494</v>
      </c>
      <c r="R29" s="20">
        <f>R2</f>
        <v>0.2441</v>
      </c>
      <c r="S29" s="27">
        <f t="shared" si="1"/>
        <v>0.6935</v>
      </c>
      <c r="T29" s="20">
        <f>属性计算面板!B5</f>
        <v>2.0895</v>
      </c>
      <c r="V29" s="20">
        <f t="shared" si="2"/>
        <v>2.0895</v>
      </c>
      <c r="W29" s="20">
        <f t="shared" ref="W29:AA29" si="44">W2</f>
        <v>0.2441</v>
      </c>
      <c r="X29" s="20">
        <f t="shared" si="3"/>
        <v>2.3336</v>
      </c>
      <c r="Y29" s="20">
        <f t="shared" si="44"/>
        <v>0.2441</v>
      </c>
      <c r="Z29" s="20">
        <f t="shared" si="4"/>
        <v>2.3336</v>
      </c>
      <c r="AA29" s="20">
        <f t="shared" si="44"/>
        <v>0.1953</v>
      </c>
      <c r="AB29" s="20">
        <f t="shared" si="5"/>
        <v>2.5289</v>
      </c>
      <c r="AC29" s="20">
        <f t="shared" si="6"/>
        <v>31941</v>
      </c>
      <c r="AD29" s="20">
        <f t="shared" si="7"/>
        <v>43914</v>
      </c>
      <c r="AE29" s="20">
        <f t="shared" si="8"/>
        <v>47437</v>
      </c>
      <c r="AF29" s="20">
        <f t="shared" si="9"/>
        <v>66740</v>
      </c>
      <c r="AG29" s="20">
        <f t="shared" si="10"/>
        <v>102477</v>
      </c>
      <c r="AH29" s="20">
        <f t="shared" si="34"/>
        <v>120186</v>
      </c>
      <c r="AI29" s="20">
        <f t="shared" si="11"/>
        <v>37928</v>
      </c>
      <c r="AJ29" s="20">
        <f t="shared" si="12"/>
        <v>88508</v>
      </c>
      <c r="AK29" s="20">
        <f t="shared" si="13"/>
        <v>40971</v>
      </c>
      <c r="AL29" s="20">
        <f t="shared" si="14"/>
        <v>95609</v>
      </c>
      <c r="AM29" s="20">
        <f t="shared" si="15"/>
        <v>111054</v>
      </c>
      <c r="AN29" s="20">
        <f t="shared" si="16"/>
        <v>119963</v>
      </c>
    </row>
    <row r="30" spans="1:40">
      <c r="A30" s="20" t="str">
        <f>'伤害统计(理想)'!A30</f>
        <v>星辰</v>
      </c>
      <c r="B30" s="20">
        <f>'伤害统计(理想)'!B30</f>
        <v>1038</v>
      </c>
      <c r="C30" s="20">
        <f>'伤害统计(理想)'!C30</f>
        <v>34400</v>
      </c>
      <c r="D30" s="20">
        <f>'伤害统计(理想)'!D30</f>
        <v>45792</v>
      </c>
      <c r="E30" s="20">
        <f>'伤害统计(理想)'!E30</f>
        <v>0.99609375</v>
      </c>
      <c r="F30" s="20">
        <f>'伤害统计(理想)'!F30</f>
        <v>1</v>
      </c>
      <c r="G30" s="20">
        <f>'伤害统计(理想)'!G30</f>
        <v>0</v>
      </c>
      <c r="H30" s="20">
        <f>'伤害统计(理想)'!H30</f>
        <v>0</v>
      </c>
      <c r="I30" s="20">
        <f>'伤害统计(理想)'!I30</f>
        <v>0.05</v>
      </c>
      <c r="J30" s="20">
        <f>'伤害统计(理想)'!J30</f>
        <v>0.472</v>
      </c>
      <c r="K30" s="20">
        <f>'伤害统计(理想)'!K30</f>
        <v>0.1181</v>
      </c>
      <c r="L30" s="20">
        <f>'伤害统计(理想)'!L30</f>
        <v>0.177214436704937</v>
      </c>
      <c r="M30" s="20">
        <f>'伤害统计(理想)'!M30</f>
        <v>0.3473</v>
      </c>
      <c r="N30" s="20">
        <f>'伤害统计(理想)'!N30</f>
        <v>0.2</v>
      </c>
      <c r="O30" s="20">
        <f>'伤害统计(理想)'!O30</f>
        <v>0.4994</v>
      </c>
      <c r="P30" s="27">
        <f>'伤害统计(理想)'!P30-0.05</f>
        <v>-0.05</v>
      </c>
      <c r="Q30" s="20">
        <f>MIN(O29+P29,1)</f>
        <v>0.4494</v>
      </c>
      <c r="R30" s="20">
        <f>R2</f>
        <v>0.2441</v>
      </c>
      <c r="S30" s="27">
        <f t="shared" si="1"/>
        <v>0.6935</v>
      </c>
      <c r="T30" s="20">
        <f>属性计算面板!B5</f>
        <v>2.0895</v>
      </c>
      <c r="V30" s="20">
        <f t="shared" si="2"/>
        <v>2.0895</v>
      </c>
      <c r="W30" s="20">
        <f t="shared" ref="W30:AA30" si="45">W2</f>
        <v>0.2441</v>
      </c>
      <c r="X30" s="20">
        <f t="shared" si="3"/>
        <v>2.3336</v>
      </c>
      <c r="Y30" s="20">
        <f t="shared" si="45"/>
        <v>0.2441</v>
      </c>
      <c r="Z30" s="20">
        <f t="shared" si="4"/>
        <v>2.3336</v>
      </c>
      <c r="AA30" s="20">
        <f t="shared" si="45"/>
        <v>0.1953</v>
      </c>
      <c r="AB30" s="20">
        <f t="shared" si="5"/>
        <v>2.5289</v>
      </c>
      <c r="AC30" s="20">
        <f t="shared" si="6"/>
        <v>63943</v>
      </c>
      <c r="AD30" s="20">
        <f t="shared" si="7"/>
        <v>87427</v>
      </c>
      <c r="AE30" s="20">
        <f t="shared" si="8"/>
        <v>94442</v>
      </c>
      <c r="AF30" s="20">
        <f t="shared" si="9"/>
        <v>133608</v>
      </c>
      <c r="AG30" s="20">
        <f t="shared" si="10"/>
        <v>204019</v>
      </c>
      <c r="AH30" s="20">
        <f t="shared" si="34"/>
        <v>239278</v>
      </c>
      <c r="AI30" s="20">
        <f t="shared" si="11"/>
        <v>75685</v>
      </c>
      <c r="AJ30" s="20">
        <f t="shared" si="12"/>
        <v>176618</v>
      </c>
      <c r="AK30" s="20">
        <f t="shared" si="13"/>
        <v>81758</v>
      </c>
      <c r="AL30" s="20">
        <f t="shared" si="14"/>
        <v>190790</v>
      </c>
      <c r="AM30" s="20">
        <f t="shared" si="15"/>
        <v>221094</v>
      </c>
      <c r="AN30" s="20">
        <f t="shared" si="16"/>
        <v>238834</v>
      </c>
    </row>
    <row r="31" spans="1:40">
      <c r="A31" s="20" t="str">
        <f>'伤害统计(理想)'!A31</f>
        <v>四象轮回·神兵</v>
      </c>
      <c r="B31" s="20">
        <f>'伤害统计(理想)'!B31</f>
        <v>21</v>
      </c>
      <c r="C31" s="20">
        <f>'伤害统计(理想)'!C31</f>
        <v>34400</v>
      </c>
      <c r="D31" s="20">
        <f>'伤害统计(理想)'!D31</f>
        <v>45792</v>
      </c>
      <c r="E31" s="20">
        <f>'伤害统计(理想)'!E31</f>
        <v>0.338541666666667</v>
      </c>
      <c r="F31" s="20">
        <f>'伤害统计(理想)'!F31</f>
        <v>1</v>
      </c>
      <c r="G31" s="20">
        <f>'伤害统计(理想)'!G31</f>
        <v>0</v>
      </c>
      <c r="H31" s="20">
        <f>'伤害统计(理想)'!H31</f>
        <v>0</v>
      </c>
      <c r="I31" s="20">
        <f>'伤害统计(理想)'!I31</f>
        <v>0.05</v>
      </c>
      <c r="J31" s="20">
        <f>'伤害统计(理想)'!J31</f>
        <v>0.472</v>
      </c>
      <c r="K31" s="20">
        <f>'伤害统计(理想)'!K31</f>
        <v>0.1181</v>
      </c>
      <c r="L31" s="20">
        <f>'伤害统计(理想)'!L31</f>
        <v>0.177214436704937</v>
      </c>
      <c r="M31" s="20">
        <f>'伤害统计(理想)'!M31</f>
        <v>0.3473</v>
      </c>
      <c r="N31" s="20">
        <f>'伤害统计(理想)'!N31</f>
        <v>0.2</v>
      </c>
      <c r="O31" s="20">
        <f>'伤害统计(理想)'!O31</f>
        <v>0.4994</v>
      </c>
      <c r="P31" s="27">
        <f>'伤害统计(理想)'!P31-0.05</f>
        <v>-0.05</v>
      </c>
      <c r="Q31" s="20">
        <f>MIN(O30+P30,1)</f>
        <v>0.4494</v>
      </c>
      <c r="R31" s="20">
        <f>'伤害统计(理想)'!R31</f>
        <v>0.2441</v>
      </c>
      <c r="S31" s="27">
        <f t="shared" si="1"/>
        <v>0.6935</v>
      </c>
      <c r="T31" s="20">
        <f>'伤害统计(理想)'!T31</f>
        <v>2.0895</v>
      </c>
      <c r="U31" s="20">
        <f>'伤害统计(理想)'!U31</f>
        <v>0</v>
      </c>
      <c r="V31" s="20">
        <f>'伤害统计(理想)'!V31</f>
        <v>2.0895</v>
      </c>
      <c r="W31" s="20">
        <f>'伤害统计(理想)'!W31</f>
        <v>0.2441</v>
      </c>
      <c r="X31" s="20">
        <f>'伤害统计(理想)'!X31</f>
        <v>2.3336</v>
      </c>
      <c r="Y31" s="20">
        <f>'伤害统计(理想)'!Y31</f>
        <v>0.2441</v>
      </c>
      <c r="Z31" s="20">
        <f>'伤害统计(理想)'!Z31</f>
        <v>2.3336</v>
      </c>
      <c r="AA31" s="20">
        <f>'伤害统计(理想)'!AA31</f>
        <v>0.1953</v>
      </c>
      <c r="AB31" s="20">
        <f>'伤害统计(理想)'!AB31</f>
        <v>2.5289</v>
      </c>
      <c r="AC31" s="20">
        <f t="shared" si="6"/>
        <v>21277</v>
      </c>
      <c r="AD31" s="20">
        <f t="shared" si="7"/>
        <v>29259</v>
      </c>
      <c r="AE31" s="20">
        <f t="shared" si="8"/>
        <v>31606</v>
      </c>
      <c r="AF31" s="20">
        <f t="shared" si="9"/>
        <v>44458</v>
      </c>
      <c r="AG31" s="20">
        <f t="shared" si="10"/>
        <v>68278</v>
      </c>
      <c r="AH31" s="20">
        <f t="shared" si="34"/>
        <v>80076</v>
      </c>
      <c r="AI31" s="20">
        <f t="shared" si="11"/>
        <v>25268</v>
      </c>
      <c r="AJ31" s="20">
        <f t="shared" si="12"/>
        <v>58965</v>
      </c>
      <c r="AK31" s="20">
        <f t="shared" si="13"/>
        <v>27295</v>
      </c>
      <c r="AL31" s="20">
        <f t="shared" si="14"/>
        <v>63695</v>
      </c>
      <c r="AM31" s="20">
        <f t="shared" si="15"/>
        <v>73993</v>
      </c>
      <c r="AN31" s="20">
        <f t="shared" si="16"/>
        <v>79928</v>
      </c>
    </row>
    <row r="33" spans="13:29">
      <c r="M33" s="28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</row>
    <row r="34" spans="13:29">
      <c r="M34" s="30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</row>
    <row r="35" spans="13:29">
      <c r="M35" s="30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</row>
    <row r="36" spans="13:29">
      <c r="M36" s="30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</row>
    <row r="37" spans="1:29">
      <c r="A37" s="20">
        <f>'伤害统计(理想)'!A37</f>
        <v>0</v>
      </c>
      <c r="B37" s="20" t="str">
        <f>'伤害统计(理想)'!B37</f>
        <v>常规</v>
      </c>
      <c r="C37" s="20" t="str">
        <f>'伤害统计(理想)'!C37</f>
        <v>小紫</v>
      </c>
      <c r="D37" s="20" t="str">
        <f>'伤害统计(理想)'!D37</f>
        <v>大紫</v>
      </c>
      <c r="E37" s="20" t="str">
        <f>'伤害统计(理想)'!E37</f>
        <v>大紫会神</v>
      </c>
      <c r="F37" s="20" t="str">
        <f>'伤害统计(理想)'!F37</f>
        <v>腰坠常规</v>
      </c>
      <c r="G37" s="20" t="str">
        <f>'伤害统计(理想)'!G37</f>
        <v>腰坠小紫</v>
      </c>
      <c r="H37" s="20" t="str">
        <f>'伤害统计(理想)'!H37</f>
        <v>腰坠大紫</v>
      </c>
      <c r="I37" s="20" t="str">
        <f>'伤害统计(理想)'!I37</f>
        <v>腰坠大紫会神</v>
      </c>
      <c r="J37" s="20">
        <f>'伤害统计(理想)'!J37</f>
        <v>0</v>
      </c>
      <c r="K37" s="20">
        <f>'伤害统计(理想)'!K37</f>
        <v>0</v>
      </c>
      <c r="L37" s="20" t="str">
        <f>'伤害统计(理想)'!L37</f>
        <v>技能数统计</v>
      </c>
      <c r="U37" s="29"/>
      <c r="V37" s="29"/>
      <c r="W37" s="29"/>
      <c r="X37" s="29"/>
      <c r="Y37" s="29"/>
      <c r="Z37" s="29"/>
      <c r="AA37" s="29"/>
      <c r="AB37" s="29"/>
      <c r="AC37" s="29"/>
    </row>
    <row r="38" spans="1:29">
      <c r="A38" s="20" t="str">
        <f>'伤害统计(理想)'!A38</f>
        <v>万世二段</v>
      </c>
      <c r="B38" s="20">
        <f>'伤害统计(理想)'!B38</f>
        <v>7</v>
      </c>
      <c r="C38" s="20">
        <f>'伤害统计(理想)'!C38</f>
        <v>0</v>
      </c>
      <c r="D38" s="20">
        <f>'伤害统计(理想)'!D38</f>
        <v>0</v>
      </c>
      <c r="E38" s="20">
        <f>'伤害统计(理想)'!E38</f>
        <v>0</v>
      </c>
      <c r="F38" s="20">
        <f>'伤害统计(理想)'!F38</f>
        <v>0</v>
      </c>
      <c r="G38" s="20">
        <f>'伤害统计(理想)'!G38</f>
        <v>0</v>
      </c>
      <c r="H38" s="20">
        <f>'伤害统计(理想)'!H38</f>
        <v>0</v>
      </c>
      <c r="I38" s="20">
        <f>'伤害统计(理想)'!I38</f>
        <v>0</v>
      </c>
      <c r="J38" s="20">
        <f>'伤害统计(理想)'!J38</f>
        <v>0</v>
      </c>
      <c r="K38" s="20">
        <f>'伤害统计(理想)'!K38</f>
        <v>7</v>
      </c>
      <c r="L38" s="20">
        <f>'伤害统计(理想)'!L38</f>
        <v>7</v>
      </c>
      <c r="N38" t="s">
        <v>996</v>
      </c>
      <c r="O38"/>
      <c r="P38"/>
      <c r="Q38"/>
      <c r="R38"/>
      <c r="S38"/>
      <c r="T38"/>
      <c r="U38" s="32"/>
      <c r="V38" s="29"/>
      <c r="W38" s="29"/>
      <c r="X38" s="29"/>
      <c r="Y38" s="29"/>
      <c r="Z38" s="29"/>
      <c r="AA38" s="29"/>
      <c r="AB38" s="29"/>
      <c r="AC38" s="29"/>
    </row>
    <row r="39" spans="1:29">
      <c r="A39" s="20" t="str">
        <f>'伤害统计(理想)'!A39</f>
        <v>飞剑1</v>
      </c>
      <c r="B39" s="20">
        <f>'伤害统计(理想)'!B39</f>
        <v>99</v>
      </c>
      <c r="C39" s="20">
        <f>'伤害统计(理想)'!C39</f>
        <v>0</v>
      </c>
      <c r="D39" s="20">
        <f>'伤害统计(理想)'!D39</f>
        <v>5</v>
      </c>
      <c r="E39" s="20">
        <f>'伤害统计(理想)'!E39</f>
        <v>10</v>
      </c>
      <c r="F39" s="20">
        <f>'伤害统计(理想)'!F39</f>
        <v>2</v>
      </c>
      <c r="G39" s="20">
        <f>'伤害统计(理想)'!G39</f>
        <v>0</v>
      </c>
      <c r="H39" s="20">
        <f>'伤害统计(理想)'!H39</f>
        <v>2</v>
      </c>
      <c r="I39" s="20">
        <f>'伤害统计(理想)'!I39</f>
        <v>4</v>
      </c>
      <c r="J39" s="20">
        <f>'伤害统计(理想)'!J39</f>
        <v>0</v>
      </c>
      <c r="K39" s="20">
        <f>'伤害统计(理想)'!K39</f>
        <v>122</v>
      </c>
      <c r="L39" s="20">
        <f>'伤害统计(理想)'!L39</f>
        <v>610</v>
      </c>
      <c r="N39"/>
      <c r="O39" t="s">
        <v>254</v>
      </c>
      <c r="P39" t="s">
        <v>997</v>
      </c>
      <c r="Q39" s="20" t="s">
        <v>947</v>
      </c>
      <c r="R39" s="20" t="s">
        <v>998</v>
      </c>
      <c r="Z39" s="29"/>
      <c r="AA39" s="29"/>
      <c r="AB39" s="29"/>
      <c r="AC39" s="29"/>
    </row>
    <row r="40" spans="1:29">
      <c r="A40" s="20" t="str">
        <f>'伤害统计(理想)'!A40</f>
        <v>飞剑2</v>
      </c>
      <c r="B40" s="20">
        <f>'伤害统计(理想)'!B40</f>
        <v>99</v>
      </c>
      <c r="C40" s="20">
        <f>'伤害统计(理想)'!C40</f>
        <v>0</v>
      </c>
      <c r="D40" s="20">
        <f>'伤害统计(理想)'!D40</f>
        <v>5</v>
      </c>
      <c r="E40" s="20">
        <f>'伤害统计(理想)'!E40</f>
        <v>10</v>
      </c>
      <c r="F40" s="20">
        <f>'伤害统计(理想)'!F40</f>
        <v>2</v>
      </c>
      <c r="G40" s="20">
        <f>'伤害统计(理想)'!G40</f>
        <v>0</v>
      </c>
      <c r="H40" s="20">
        <f>'伤害统计(理想)'!H40</f>
        <v>2</v>
      </c>
      <c r="I40" s="20">
        <f>'伤害统计(理想)'!I40</f>
        <v>4</v>
      </c>
      <c r="J40" s="20">
        <f>'伤害统计(理想)'!J40</f>
        <v>0</v>
      </c>
      <c r="K40" s="20">
        <f>'伤害统计(理想)'!K40</f>
        <v>122</v>
      </c>
      <c r="L40" s="20">
        <f>'伤害统计(理想)'!L40</f>
        <v>0</v>
      </c>
      <c r="N40">
        <v>1</v>
      </c>
      <c r="O40" t="s">
        <v>976</v>
      </c>
      <c r="P40" s="18">
        <f>按提示输入属性!L19</f>
        <v>91</v>
      </c>
      <c r="Q40" s="20">
        <f>L87</f>
        <v>49074734</v>
      </c>
      <c r="R40" s="22">
        <f>Q40/SUM(Q40:Q56)</f>
        <v>0.235497524364144</v>
      </c>
      <c r="S40"/>
      <c r="T40"/>
      <c r="U40" s="29"/>
      <c r="V40" s="29"/>
      <c r="W40" s="29"/>
      <c r="X40" s="29"/>
      <c r="Y40" s="29"/>
      <c r="Z40" s="29"/>
      <c r="AA40" s="29"/>
      <c r="AB40" s="29"/>
      <c r="AC40" s="29"/>
    </row>
    <row r="41" spans="1:29">
      <c r="A41" s="20" t="str">
        <f>'伤害统计(理想)'!A41</f>
        <v>飞剑3</v>
      </c>
      <c r="B41" s="20">
        <f>'伤害统计(理想)'!B41</f>
        <v>99</v>
      </c>
      <c r="C41" s="20">
        <f>'伤害统计(理想)'!C41</f>
        <v>0</v>
      </c>
      <c r="D41" s="20">
        <f>'伤害统计(理想)'!D41</f>
        <v>5</v>
      </c>
      <c r="E41" s="20">
        <f>'伤害统计(理想)'!E41</f>
        <v>10</v>
      </c>
      <c r="F41" s="20">
        <f>'伤害统计(理想)'!F41</f>
        <v>2</v>
      </c>
      <c r="G41" s="20">
        <f>'伤害统计(理想)'!G41</f>
        <v>0</v>
      </c>
      <c r="H41" s="20">
        <f>'伤害统计(理想)'!H41</f>
        <v>2</v>
      </c>
      <c r="I41" s="20">
        <f>'伤害统计(理想)'!I41</f>
        <v>4</v>
      </c>
      <c r="J41" s="20">
        <f>'伤害统计(理想)'!J41</f>
        <v>0</v>
      </c>
      <c r="K41" s="20">
        <f>'伤害统计(理想)'!K41</f>
        <v>122</v>
      </c>
      <c r="L41" s="20">
        <f>'伤害统计(理想)'!L41</f>
        <v>0</v>
      </c>
      <c r="N41">
        <v>2</v>
      </c>
      <c r="O41" t="s">
        <v>383</v>
      </c>
      <c r="P41" s="18">
        <f>按提示输入属性!L20</f>
        <v>610</v>
      </c>
      <c r="Q41" s="20">
        <f>L71</f>
        <v>65526321</v>
      </c>
      <c r="R41" s="22">
        <f>Q41/SUM(Q40:Q56)</f>
        <v>0.314444625949277</v>
      </c>
      <c r="S41"/>
      <c r="T41"/>
      <c r="U41" s="32"/>
      <c r="V41" s="29"/>
      <c r="W41" s="29"/>
      <c r="X41" s="29"/>
      <c r="Y41" s="29"/>
      <c r="Z41" s="29"/>
      <c r="AA41" s="29"/>
      <c r="AB41" s="29"/>
      <c r="AC41" s="29"/>
    </row>
    <row r="42" spans="1:29">
      <c r="A42" s="20" t="str">
        <f>'伤害统计(理想)'!A42</f>
        <v>飞剑4</v>
      </c>
      <c r="B42" s="20">
        <f>'伤害统计(理想)'!B42</f>
        <v>99</v>
      </c>
      <c r="C42" s="20">
        <f>'伤害统计(理想)'!C42</f>
        <v>0</v>
      </c>
      <c r="D42" s="20">
        <f>'伤害统计(理想)'!D42</f>
        <v>5</v>
      </c>
      <c r="E42" s="20">
        <f>'伤害统计(理想)'!E42</f>
        <v>10</v>
      </c>
      <c r="F42" s="20">
        <f>'伤害统计(理想)'!F42</f>
        <v>2</v>
      </c>
      <c r="G42" s="20">
        <f>'伤害统计(理想)'!G42</f>
        <v>0</v>
      </c>
      <c r="H42" s="20">
        <f>'伤害统计(理想)'!H42</f>
        <v>2</v>
      </c>
      <c r="I42" s="20">
        <f>'伤害统计(理想)'!I42</f>
        <v>4</v>
      </c>
      <c r="J42" s="20">
        <f>'伤害统计(理想)'!J42</f>
        <v>0</v>
      </c>
      <c r="K42" s="20">
        <f>'伤害统计(理想)'!K42</f>
        <v>122</v>
      </c>
      <c r="L42" s="20">
        <f>'伤害统计(理想)'!L42</f>
        <v>0</v>
      </c>
      <c r="N42">
        <v>3</v>
      </c>
      <c r="O42" t="s">
        <v>384</v>
      </c>
      <c r="P42" s="18">
        <f>按提示输入属性!L21</f>
        <v>84</v>
      </c>
      <c r="Q42" s="20">
        <f>L79</f>
        <v>27821060</v>
      </c>
      <c r="R42" s="22">
        <f>Q42/SUM(Q40:Q56)</f>
        <v>0.133506393640082</v>
      </c>
      <c r="S42"/>
      <c r="T42"/>
      <c r="U42" s="29"/>
      <c r="V42" s="29"/>
      <c r="W42" s="29"/>
      <c r="X42" s="29"/>
      <c r="Y42" s="29"/>
      <c r="Z42" s="29"/>
      <c r="AA42" s="29"/>
      <c r="AB42" s="29"/>
      <c r="AC42" s="29"/>
    </row>
    <row r="43" spans="1:29">
      <c r="A43" s="20" t="str">
        <f>'伤害统计(理想)'!A43</f>
        <v>飞剑5</v>
      </c>
      <c r="B43" s="20">
        <f>'伤害统计(理想)'!B43</f>
        <v>99</v>
      </c>
      <c r="C43" s="20">
        <f>'伤害统计(理想)'!C43</f>
        <v>0</v>
      </c>
      <c r="D43" s="20">
        <f>'伤害统计(理想)'!D43</f>
        <v>5</v>
      </c>
      <c r="E43" s="20">
        <f>'伤害统计(理想)'!E43</f>
        <v>10</v>
      </c>
      <c r="F43" s="20">
        <f>'伤害统计(理想)'!F43</f>
        <v>2</v>
      </c>
      <c r="G43" s="20">
        <f>'伤害统计(理想)'!G43</f>
        <v>0</v>
      </c>
      <c r="H43" s="20">
        <f>'伤害统计(理想)'!H43</f>
        <v>2</v>
      </c>
      <c r="I43" s="20">
        <f>'伤害统计(理想)'!I43</f>
        <v>4</v>
      </c>
      <c r="J43" s="20">
        <f>'伤害统计(理想)'!J43</f>
        <v>0</v>
      </c>
      <c r="K43" s="20">
        <f>'伤害统计(理想)'!K43</f>
        <v>122</v>
      </c>
      <c r="L43" s="20">
        <f>'伤害统计(理想)'!L43</f>
        <v>0</v>
      </c>
      <c r="N43">
        <v>4</v>
      </c>
      <c r="O43" t="s">
        <v>965</v>
      </c>
      <c r="P43" s="31">
        <f>按提示输入属性!L22</f>
        <v>168</v>
      </c>
      <c r="Q43" s="20">
        <f>L76</f>
        <v>20839820</v>
      </c>
      <c r="R43" s="22">
        <f>Q43/SUM(Q40:Q56)</f>
        <v>0.100005147622285</v>
      </c>
      <c r="S43"/>
      <c r="T43"/>
      <c r="U43" s="29"/>
      <c r="V43" s="29"/>
      <c r="W43" s="29"/>
      <c r="X43" s="29"/>
      <c r="Y43" s="29"/>
      <c r="Z43" s="29"/>
      <c r="AA43" s="29"/>
      <c r="AB43" s="29"/>
      <c r="AC43" s="29"/>
    </row>
    <row r="44" spans="1:29">
      <c r="A44" s="20" t="str">
        <f>'伤害统计(理想)'!A44</f>
        <v>颠越苍穹击</v>
      </c>
      <c r="B44" s="20">
        <f>'伤害统计(理想)'!B44</f>
        <v>28</v>
      </c>
      <c r="C44" s="20">
        <f>'伤害统计(理想)'!C44</f>
        <v>0</v>
      </c>
      <c r="D44" s="20">
        <f>'伤害统计(理想)'!D44</f>
        <v>0</v>
      </c>
      <c r="E44" s="20">
        <f>'伤害统计(理想)'!E44</f>
        <v>100</v>
      </c>
      <c r="F44" s="20">
        <f>'伤害统计(理想)'!F44</f>
        <v>0</v>
      </c>
      <c r="G44" s="20">
        <f>'伤害统计(理想)'!G44</f>
        <v>0</v>
      </c>
      <c r="H44" s="20">
        <f>'伤害统计(理想)'!H44</f>
        <v>0</v>
      </c>
      <c r="I44" s="20">
        <f>'伤害统计(理想)'!I44</f>
        <v>40</v>
      </c>
      <c r="J44" s="20">
        <f>'伤害统计(理想)'!J44</f>
        <v>0</v>
      </c>
      <c r="K44" s="20">
        <f>'伤害统计(理想)'!K44</f>
        <v>168</v>
      </c>
      <c r="L44" s="20">
        <f>'伤害统计(理想)'!L44</f>
        <v>168</v>
      </c>
      <c r="N44">
        <v>5</v>
      </c>
      <c r="O44" t="s">
        <v>999</v>
      </c>
      <c r="P44" s="31">
        <f>按提示输入属性!L23</f>
        <v>93</v>
      </c>
      <c r="Q44" s="20">
        <f>L82</f>
        <v>12816424</v>
      </c>
      <c r="R44" s="22">
        <f>Q44/SUM(Q40:Q56)</f>
        <v>0.0615028524291381</v>
      </c>
      <c r="S44"/>
      <c r="T44"/>
      <c r="U44" s="29"/>
      <c r="V44" s="29"/>
      <c r="W44" s="29"/>
      <c r="X44" s="29"/>
      <c r="Y44" s="29"/>
      <c r="Z44" s="29"/>
      <c r="AA44" s="29"/>
      <c r="AB44" s="29"/>
      <c r="AC44" s="29"/>
    </row>
    <row r="45" spans="1:29">
      <c r="A45" s="20" t="str">
        <f>'伤害统计(理想)'!A45</f>
        <v>五方行尽</v>
      </c>
      <c r="B45" s="20">
        <f>'伤害统计(理想)'!B45</f>
        <v>7</v>
      </c>
      <c r="C45" s="20">
        <f>'伤害统计(理想)'!C45</f>
        <v>0</v>
      </c>
      <c r="D45" s="20">
        <f>'伤害统计(理想)'!D45</f>
        <v>0</v>
      </c>
      <c r="E45" s="20">
        <f>'伤害统计(理想)'!E45</f>
        <v>0</v>
      </c>
      <c r="F45" s="20">
        <f>'伤害统计(理想)'!F45</f>
        <v>0</v>
      </c>
      <c r="G45" s="20">
        <f>'伤害统计(理想)'!G45</f>
        <v>0</v>
      </c>
      <c r="H45" s="20">
        <f>'伤害统计(理想)'!H45</f>
        <v>0</v>
      </c>
      <c r="I45" s="20">
        <f>'伤害统计(理想)'!I45</f>
        <v>0</v>
      </c>
      <c r="J45" s="20">
        <f>'伤害统计(理想)'!J45</f>
        <v>0</v>
      </c>
      <c r="K45" s="20">
        <f>'伤害统计(理想)'!K45</f>
        <v>7</v>
      </c>
      <c r="L45" s="20">
        <f>'伤害统计(理想)'!L45</f>
        <v>7</v>
      </c>
      <c r="N45">
        <v>6</v>
      </c>
      <c r="O45" t="s">
        <v>385</v>
      </c>
      <c r="P45" s="18">
        <f>按提示输入属性!L24</f>
        <v>65</v>
      </c>
      <c r="Q45" s="20">
        <f>L78</f>
        <v>25963374</v>
      </c>
      <c r="R45" s="22">
        <f>Q45/SUM(Q40:Q56)</f>
        <v>0.124591817474556</v>
      </c>
      <c r="S45"/>
      <c r="T45"/>
      <c r="U45" s="29"/>
      <c r="V45" s="29"/>
      <c r="W45" s="29"/>
      <c r="X45" s="29"/>
      <c r="Y45" s="29"/>
      <c r="Z45" s="29"/>
      <c r="AA45" s="29"/>
      <c r="AB45" s="29"/>
      <c r="AC45" s="29"/>
    </row>
    <row r="46" spans="1:29">
      <c r="A46" s="20" t="str">
        <f>'伤害统计(理想)'!A46</f>
        <v>四象轮回</v>
      </c>
      <c r="B46" s="20">
        <f>'伤害统计(理想)'!B46</f>
        <v>42</v>
      </c>
      <c r="C46" s="20">
        <f>'伤害统计(理想)'!C46</f>
        <v>0</v>
      </c>
      <c r="D46" s="20">
        <f>'伤害统计(理想)'!D46</f>
        <v>5</v>
      </c>
      <c r="E46" s="20">
        <f>'伤害统计(理想)'!E46</f>
        <v>10</v>
      </c>
      <c r="F46" s="20">
        <f>'伤害统计(理想)'!F46</f>
        <v>2</v>
      </c>
      <c r="G46" s="20">
        <f>'伤害统计(理想)'!G46</f>
        <v>0</v>
      </c>
      <c r="H46" s="20">
        <f>'伤害统计(理想)'!H46</f>
        <v>2</v>
      </c>
      <c r="I46" s="20">
        <f>'伤害统计(理想)'!I46</f>
        <v>4</v>
      </c>
      <c r="J46" s="20">
        <f>'伤害统计(理想)'!J46</f>
        <v>0</v>
      </c>
      <c r="K46" s="20">
        <f>'伤害统计(理想)'!K46</f>
        <v>65</v>
      </c>
      <c r="L46" s="20">
        <f>'伤害统计(理想)'!L46</f>
        <v>65</v>
      </c>
      <c r="N46">
        <v>7</v>
      </c>
      <c r="O46" t="s">
        <v>1000</v>
      </c>
      <c r="P46" s="18">
        <f>L38</f>
        <v>7</v>
      </c>
      <c r="Q46" s="20">
        <f>L70</f>
        <v>4393425</v>
      </c>
      <c r="R46" s="22">
        <f>Q46/SUM(Q40:Q56)</f>
        <v>0.0210829611624495</v>
      </c>
      <c r="S46"/>
      <c r="T46"/>
      <c r="U46" s="32"/>
      <c r="V46" s="32"/>
      <c r="W46" s="32"/>
      <c r="X46" s="32"/>
      <c r="Y46" s="32"/>
      <c r="Z46" s="32"/>
      <c r="AA46" s="32"/>
      <c r="AB46" s="32"/>
      <c r="AC46" s="32"/>
    </row>
    <row r="47" spans="1:29">
      <c r="A47" s="20" t="str">
        <f>'伤害统计(理想)'!A47</f>
        <v>两仪化形(5)</v>
      </c>
      <c r="B47" s="20">
        <f>'伤害统计(理想)'!B47</f>
        <v>42</v>
      </c>
      <c r="C47" s="20">
        <f>'伤害统计(理想)'!C47</f>
        <v>0</v>
      </c>
      <c r="D47" s="20">
        <f>'伤害统计(理想)'!D47</f>
        <v>5</v>
      </c>
      <c r="E47" s="20">
        <f>'伤害统计(理想)'!E47</f>
        <v>15</v>
      </c>
      <c r="F47" s="20">
        <f>'伤害统计(理想)'!F47</f>
        <v>2</v>
      </c>
      <c r="G47" s="20">
        <f>'伤害统计(理想)'!G47</f>
        <v>0</v>
      </c>
      <c r="H47" s="20">
        <f>'伤害统计(理想)'!H47</f>
        <v>2</v>
      </c>
      <c r="I47" s="20">
        <f>'伤害统计(理想)'!I47</f>
        <v>6</v>
      </c>
      <c r="J47" s="20">
        <f>'伤害统计(理想)'!J47</f>
        <v>0</v>
      </c>
      <c r="K47" s="20">
        <f>'伤害统计(理想)'!K47</f>
        <v>72</v>
      </c>
      <c r="L47" s="20">
        <f>'伤害统计(理想)'!L47</f>
        <v>84</v>
      </c>
      <c r="N47">
        <v>8</v>
      </c>
      <c r="O47" t="s">
        <v>1002</v>
      </c>
      <c r="P47" s="31">
        <f>K63</f>
        <v>0</v>
      </c>
      <c r="Q47" s="20">
        <f>L95</f>
        <v>0</v>
      </c>
      <c r="R47" s="22">
        <f>Q47/SUM(Q40:Q56)</f>
        <v>0</v>
      </c>
      <c r="S47"/>
      <c r="T47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>
      <c r="A48" s="20" t="str">
        <f>'伤害统计(理想)'!A48</f>
        <v>两仪化形(4</v>
      </c>
      <c r="B48" s="20">
        <f>'伤害统计(理想)'!B48</f>
        <v>12</v>
      </c>
      <c r="C48" s="20">
        <f>'伤害统计(理想)'!C48</f>
        <v>0</v>
      </c>
      <c r="D48" s="20">
        <f>'伤害统计(理想)'!D48</f>
        <v>0</v>
      </c>
      <c r="E48" s="20">
        <f>'伤害统计(理想)'!E48</f>
        <v>0</v>
      </c>
      <c r="F48" s="20">
        <f>'伤害统计(理想)'!F48</f>
        <v>0</v>
      </c>
      <c r="G48" s="20">
        <f>'伤害统计(理想)'!G48</f>
        <v>0</v>
      </c>
      <c r="H48" s="20">
        <f>'伤害统计(理想)'!H48</f>
        <v>0</v>
      </c>
      <c r="I48" s="20">
        <f>'伤害统计(理想)'!I48</f>
        <v>0</v>
      </c>
      <c r="J48" s="20">
        <f>'伤害统计(理想)'!J48</f>
        <v>0</v>
      </c>
      <c r="K48" s="20">
        <f>'伤害统计(理想)'!K48</f>
        <v>12</v>
      </c>
      <c r="L48" s="20">
        <f>'伤害统计(理想)'!L48</f>
        <v>0</v>
      </c>
      <c r="N48">
        <v>9</v>
      </c>
      <c r="O48" t="s">
        <v>1003</v>
      </c>
      <c r="P48" s="31">
        <f>K62</f>
        <v>0</v>
      </c>
      <c r="Q48" s="20">
        <f>L95</f>
        <v>0</v>
      </c>
      <c r="R48" s="22">
        <f>Q48/SUM(Q40:Q56)</f>
        <v>0</v>
      </c>
      <c r="S48"/>
      <c r="T48"/>
      <c r="U48" s="29"/>
      <c r="V48" s="29"/>
      <c r="W48" s="29"/>
      <c r="X48" s="29"/>
      <c r="Y48" s="29"/>
      <c r="Z48" s="29"/>
      <c r="AA48" s="29"/>
      <c r="AB48" s="29"/>
      <c r="AC48" s="29"/>
    </row>
    <row r="49" ht="17.25" spans="1:39">
      <c r="A49" s="20" t="str">
        <f>'伤害统计(理想)'!A49</f>
        <v>两仪化形(3.5</v>
      </c>
      <c r="B49" s="20">
        <f>'伤害统计(理想)'!B49</f>
        <v>0</v>
      </c>
      <c r="C49" s="20">
        <f>'伤害统计(理想)'!C49</f>
        <v>0</v>
      </c>
      <c r="D49" s="20">
        <f>'伤害统计(理想)'!D49</f>
        <v>0</v>
      </c>
      <c r="E49" s="20">
        <f>'伤害统计(理想)'!E49</f>
        <v>0</v>
      </c>
      <c r="F49" s="20">
        <f>'伤害统计(理想)'!F49</f>
        <v>0</v>
      </c>
      <c r="G49" s="20">
        <f>'伤害统计(理想)'!G49</f>
        <v>0</v>
      </c>
      <c r="H49" s="20">
        <f>'伤害统计(理想)'!H49</f>
        <v>0</v>
      </c>
      <c r="I49" s="20">
        <f>'伤害统计(理想)'!I49</f>
        <v>0</v>
      </c>
      <c r="J49" s="20">
        <f>'伤害统计(理想)'!J49</f>
        <v>0</v>
      </c>
      <c r="K49" s="20">
        <f>'伤害统计(理想)'!K49</f>
        <v>0</v>
      </c>
      <c r="L49" s="20">
        <f>'伤害统计(理想)'!L49</f>
        <v>0</v>
      </c>
      <c r="N49">
        <v>10</v>
      </c>
      <c r="O49" t="s">
        <v>364</v>
      </c>
      <c r="P49" s="31">
        <f>K59</f>
        <v>0</v>
      </c>
      <c r="Q49" s="20">
        <f>L91</f>
        <v>0</v>
      </c>
      <c r="R49" s="22">
        <f>Q49/SUM(Q40:Q56)</f>
        <v>0</v>
      </c>
      <c r="S49"/>
      <c r="T49"/>
      <c r="U49" s="29"/>
      <c r="V49" s="29"/>
      <c r="W49" s="29"/>
      <c r="X49" s="29"/>
      <c r="Y49" s="29"/>
      <c r="Z49" s="29"/>
      <c r="AA49" s="29"/>
      <c r="AB49" s="29"/>
      <c r="AC49" s="29"/>
      <c r="AE49" s="33"/>
      <c r="AF49" s="33"/>
      <c r="AG49" s="33"/>
      <c r="AH49" s="34"/>
      <c r="AI49" s="34"/>
      <c r="AJ49" s="34"/>
      <c r="AK49" s="34"/>
      <c r="AL49" s="34"/>
      <c r="AM49" s="34"/>
    </row>
    <row r="50" spans="1:29">
      <c r="A50" s="20" t="str">
        <f>'伤害统计(理想)'!A50</f>
        <v>六合1</v>
      </c>
      <c r="B50" s="20">
        <f>'伤害统计(理想)'!B50</f>
        <v>13</v>
      </c>
      <c r="C50" s="20">
        <f>'伤害统计(理想)'!C50</f>
        <v>0</v>
      </c>
      <c r="D50" s="20">
        <f>'伤害统计(理想)'!D50</f>
        <v>0</v>
      </c>
      <c r="E50" s="20">
        <f>'伤害统计(理想)'!E50</f>
        <v>0</v>
      </c>
      <c r="F50" s="20">
        <f>'伤害统计(理想)'!F50</f>
        <v>0</v>
      </c>
      <c r="G50" s="20">
        <f>'伤害统计(理想)'!G50</f>
        <v>0</v>
      </c>
      <c r="H50" s="20">
        <f>'伤害统计(理想)'!H50</f>
        <v>0</v>
      </c>
      <c r="I50" s="20">
        <f>'伤害统计(理想)'!I50</f>
        <v>0</v>
      </c>
      <c r="J50" s="20">
        <f>'伤害统计(理想)'!J50</f>
        <v>28</v>
      </c>
      <c r="K50" s="20">
        <f>'伤害统计(理想)'!K50</f>
        <v>41</v>
      </c>
      <c r="L50" s="20">
        <f>'伤害统计(理想)'!L50</f>
        <v>93</v>
      </c>
      <c r="N50">
        <v>11</v>
      </c>
      <c r="O50" t="s">
        <v>981</v>
      </c>
      <c r="P50" s="31">
        <f>K61</f>
        <v>16</v>
      </c>
      <c r="Q50" s="20">
        <f>L93</f>
        <v>781981</v>
      </c>
      <c r="R50" s="22">
        <f>Q50/SUM(Q40:Q56)</f>
        <v>0.00375253362758519</v>
      </c>
      <c r="S50"/>
      <c r="T50"/>
      <c r="U50" s="29"/>
      <c r="V50" s="29"/>
      <c r="W50" s="29"/>
      <c r="X50" s="29"/>
      <c r="Y50" s="29"/>
      <c r="Z50" s="29"/>
      <c r="AA50" s="29"/>
      <c r="AB50" s="29"/>
      <c r="AC50" s="29"/>
    </row>
    <row r="51" spans="1:31">
      <c r="A51" s="20" t="str">
        <f>'伤害统计(理想)'!A51</f>
        <v>六合2</v>
      </c>
      <c r="B51" s="20">
        <f>'伤害统计(理想)'!B51</f>
        <v>6</v>
      </c>
      <c r="C51" s="20">
        <f>'伤害统计(理想)'!C51</f>
        <v>0</v>
      </c>
      <c r="D51" s="20">
        <f>'伤害统计(理想)'!D51</f>
        <v>0</v>
      </c>
      <c r="E51" s="20">
        <f>'伤害统计(理想)'!E51</f>
        <v>5</v>
      </c>
      <c r="F51" s="20">
        <f>'伤害统计(理想)'!F51</f>
        <v>0</v>
      </c>
      <c r="G51" s="20">
        <f>'伤害统计(理想)'!G51</f>
        <v>0</v>
      </c>
      <c r="H51" s="20">
        <f>'伤害统计(理想)'!H51</f>
        <v>0</v>
      </c>
      <c r="I51" s="20">
        <f>'伤害统计(理想)'!I51</f>
        <v>2</v>
      </c>
      <c r="J51" s="20">
        <f>'伤害统计(理想)'!J51</f>
        <v>0</v>
      </c>
      <c r="K51" s="20">
        <f>'伤害统计(理想)'!K51</f>
        <v>13</v>
      </c>
      <c r="L51" s="20">
        <f>'伤害统计(理想)'!L51</f>
        <v>0</v>
      </c>
      <c r="N51">
        <v>12</v>
      </c>
      <c r="O51" t="s">
        <v>1004</v>
      </c>
      <c r="P51" s="31">
        <f>K64</f>
        <v>0</v>
      </c>
      <c r="Q51" s="20">
        <f>L96</f>
        <v>0</v>
      </c>
      <c r="R51" s="22">
        <f>Q51/SUM(Q40:Q56)</f>
        <v>0</v>
      </c>
      <c r="S51"/>
      <c r="T51"/>
      <c r="U51" s="29"/>
      <c r="V51" s="29"/>
      <c r="W51" s="29"/>
      <c r="X51" s="29"/>
      <c r="Y51" s="29"/>
      <c r="Z51" s="29"/>
      <c r="AA51" s="29"/>
      <c r="AB51" s="29"/>
      <c r="AC51" s="29"/>
      <c r="AE51" s="33"/>
    </row>
    <row r="52" spans="1:29">
      <c r="A52" s="20" t="str">
        <f>'伤害统计(理想)'!A52</f>
        <v>六合3</v>
      </c>
      <c r="B52" s="20">
        <f>'伤害统计(理想)'!B52</f>
        <v>6</v>
      </c>
      <c r="C52" s="20">
        <f>'伤害统计(理想)'!C52</f>
        <v>0</v>
      </c>
      <c r="D52" s="20">
        <f>'伤害统计(理想)'!D52</f>
        <v>0</v>
      </c>
      <c r="E52" s="20">
        <f>'伤害统计(理想)'!E52</f>
        <v>5</v>
      </c>
      <c r="F52" s="20">
        <f>'伤害统计(理想)'!F52</f>
        <v>0</v>
      </c>
      <c r="G52" s="20">
        <f>'伤害统计(理想)'!G52</f>
        <v>0</v>
      </c>
      <c r="H52" s="20">
        <f>'伤害统计(理想)'!H52</f>
        <v>0</v>
      </c>
      <c r="I52" s="20">
        <f>'伤害统计(理想)'!I52</f>
        <v>2</v>
      </c>
      <c r="J52" s="20">
        <f>'伤害统计(理想)'!J52</f>
        <v>0</v>
      </c>
      <c r="K52" s="20">
        <f>'伤害统计(理想)'!K52</f>
        <v>13</v>
      </c>
      <c r="L52" s="20">
        <f>'伤害统计(理想)'!L52</f>
        <v>0</v>
      </c>
      <c r="N52">
        <v>13</v>
      </c>
      <c r="O52" t="s">
        <v>980</v>
      </c>
      <c r="P52" s="31">
        <f>K60</f>
        <v>23</v>
      </c>
      <c r="Q52" s="20">
        <f>L92</f>
        <v>705726</v>
      </c>
      <c r="R52" s="22">
        <f>Q52/SUM(Q40:Q56)</f>
        <v>0.00338660472167634</v>
      </c>
      <c r="S52"/>
      <c r="T52"/>
      <c r="U52" s="29"/>
      <c r="V52" s="29"/>
      <c r="W52" s="29"/>
      <c r="X52" s="29"/>
      <c r="Y52" s="29"/>
      <c r="Z52" s="29"/>
      <c r="AA52" s="29"/>
      <c r="AB52" s="29"/>
      <c r="AC52" s="29"/>
    </row>
    <row r="53" spans="1:31">
      <c r="A53" s="20" t="str">
        <f>'伤害统计(理想)'!A53</f>
        <v>六合4</v>
      </c>
      <c r="B53" s="20">
        <f>'伤害统计(理想)'!B53</f>
        <v>6</v>
      </c>
      <c r="C53" s="20">
        <f>'伤害统计(理想)'!C53</f>
        <v>0</v>
      </c>
      <c r="D53" s="20">
        <f>'伤害统计(理想)'!D53</f>
        <v>0</v>
      </c>
      <c r="E53" s="20">
        <f>'伤害统计(理想)'!E53</f>
        <v>5</v>
      </c>
      <c r="F53" s="20">
        <f>'伤害统计(理想)'!F53</f>
        <v>0</v>
      </c>
      <c r="G53" s="20">
        <f>'伤害统计(理想)'!G53</f>
        <v>0</v>
      </c>
      <c r="H53" s="20">
        <f>'伤害统计(理想)'!H53</f>
        <v>0</v>
      </c>
      <c r="I53" s="20">
        <f>'伤害统计(理想)'!I53</f>
        <v>2</v>
      </c>
      <c r="J53" s="20">
        <f>'伤害统计(理想)'!J53</f>
        <v>0</v>
      </c>
      <c r="K53" s="20">
        <f>'伤害统计(理想)'!K53</f>
        <v>13</v>
      </c>
      <c r="L53" s="20">
        <f>'伤害统计(理想)'!L53</f>
        <v>0</v>
      </c>
      <c r="N53">
        <v>14</v>
      </c>
      <c r="O53" t="s">
        <v>966</v>
      </c>
      <c r="P53" s="31">
        <f>K45</f>
        <v>7</v>
      </c>
      <c r="Q53" s="20">
        <f>L77</f>
        <v>357604</v>
      </c>
      <c r="R53" s="22">
        <f>Q53/SUM(Q40:Q56)</f>
        <v>0.00171605324855588</v>
      </c>
      <c r="S53"/>
      <c r="T53"/>
      <c r="U53" s="29"/>
      <c r="V53" s="29"/>
      <c r="W53" s="29"/>
      <c r="X53" s="29"/>
      <c r="Y53" s="29"/>
      <c r="Z53" s="29"/>
      <c r="AA53" s="29"/>
      <c r="AB53" s="29"/>
      <c r="AC53" s="29"/>
      <c r="AE53" s="33"/>
    </row>
    <row r="54" spans="1:29">
      <c r="A54" s="20" t="str">
        <f>'伤害统计(理想)'!A54</f>
        <v>六合5</v>
      </c>
      <c r="B54" s="20">
        <f>'伤害统计(理想)'!B54</f>
        <v>6</v>
      </c>
      <c r="C54" s="20">
        <f>'伤害统计(理想)'!C54</f>
        <v>0</v>
      </c>
      <c r="D54" s="20">
        <f>'伤害统计(理想)'!D54</f>
        <v>0</v>
      </c>
      <c r="E54" s="20">
        <f>'伤害统计(理想)'!E54</f>
        <v>5</v>
      </c>
      <c r="F54" s="20">
        <f>'伤害统计(理想)'!F54</f>
        <v>0</v>
      </c>
      <c r="G54" s="20">
        <f>'伤害统计(理想)'!G54</f>
        <v>0</v>
      </c>
      <c r="H54" s="20">
        <f>'伤害统计(理想)'!H54</f>
        <v>0</v>
      </c>
      <c r="I54" s="20">
        <f>'伤害统计(理想)'!I54</f>
        <v>2</v>
      </c>
      <c r="J54" s="20">
        <f>'伤害统计(理想)'!J54</f>
        <v>0</v>
      </c>
      <c r="K54" s="20">
        <f>'伤害统计(理想)'!K54</f>
        <v>13</v>
      </c>
      <c r="L54" s="20">
        <f>'伤害统计(理想)'!L54</f>
        <v>0</v>
      </c>
      <c r="N54">
        <v>15</v>
      </c>
      <c r="O54" t="s">
        <v>979</v>
      </c>
      <c r="P54" s="31">
        <f>K58</f>
        <v>14</v>
      </c>
      <c r="Q54" s="20">
        <f>L90</f>
        <v>107004</v>
      </c>
      <c r="R54" s="22">
        <f>Q54/SUM(Q40:Q56)</f>
        <v>0.000513485760250089</v>
      </c>
      <c r="S54"/>
      <c r="T54"/>
      <c r="U54" s="29"/>
      <c r="V54" s="29"/>
      <c r="W54" s="29"/>
      <c r="X54" s="29"/>
      <c r="Y54" s="29"/>
      <c r="Z54" s="29"/>
      <c r="AA54" s="29"/>
      <c r="AB54" s="29"/>
      <c r="AC54" s="29"/>
    </row>
    <row r="55" spans="1:31">
      <c r="A55" s="20" t="str">
        <f>'伤害统计(理想)'!A55</f>
        <v>破</v>
      </c>
      <c r="B55" s="20">
        <f>'伤害统计(理想)'!B55</f>
        <v>54</v>
      </c>
      <c r="C55" s="20">
        <f>'伤害统计(理想)'!C55</f>
        <v>0</v>
      </c>
      <c r="D55" s="20">
        <f>'伤害统计(理想)'!D55</f>
        <v>5</v>
      </c>
      <c r="E55" s="20">
        <f>'伤害统计(理想)'!E55</f>
        <v>15</v>
      </c>
      <c r="F55" s="20">
        <f>'伤害统计(理想)'!F55</f>
        <v>2</v>
      </c>
      <c r="G55" s="20">
        <f>'伤害统计(理想)'!G55</f>
        <v>0</v>
      </c>
      <c r="H55" s="20">
        <f>'伤害统计(理想)'!H55</f>
        <v>2</v>
      </c>
      <c r="I55" s="20">
        <f>'伤害统计(理想)'!I55</f>
        <v>6</v>
      </c>
      <c r="J55" s="20">
        <f>'伤害统计(理想)'!J55</f>
        <v>0</v>
      </c>
      <c r="K55" s="20">
        <f>'伤害统计(理想)'!K55</f>
        <v>84</v>
      </c>
      <c r="L55" s="20">
        <f>'伤害统计(理想)'!L55</f>
        <v>91</v>
      </c>
      <c r="N55">
        <v>16</v>
      </c>
      <c r="O55" t="s">
        <v>983</v>
      </c>
      <c r="P55">
        <f>L65</f>
        <v>0</v>
      </c>
      <c r="Q55" s="20">
        <f>L97</f>
        <v>0</v>
      </c>
      <c r="R55" s="22">
        <f>Q55/SUM(Q40:Q56)</f>
        <v>0</v>
      </c>
      <c r="S55"/>
      <c r="T55"/>
      <c r="U55" s="29"/>
      <c r="V55" s="29"/>
      <c r="W55" s="29"/>
      <c r="X55" s="29"/>
      <c r="Y55" s="29"/>
      <c r="Z55" s="29"/>
      <c r="AA55" s="29"/>
      <c r="AB55" s="29"/>
      <c r="AC55" s="29"/>
      <c r="AE55" s="33"/>
    </row>
    <row r="56" spans="1:29">
      <c r="A56" s="20" t="str">
        <f>'伤害统计(理想)'!A56</f>
        <v>破(4</v>
      </c>
      <c r="B56" s="20">
        <f>'伤害统计(理想)'!B56</f>
        <v>0</v>
      </c>
      <c r="C56" s="20">
        <f>'伤害统计(理想)'!C56</f>
        <v>0</v>
      </c>
      <c r="D56" s="20">
        <f>'伤害统计(理想)'!D56</f>
        <v>0</v>
      </c>
      <c r="E56" s="20">
        <f>'伤害统计(理想)'!E56</f>
        <v>0</v>
      </c>
      <c r="F56" s="20">
        <f>'伤害统计(理想)'!F56</f>
        <v>0</v>
      </c>
      <c r="G56" s="20">
        <f>'伤害统计(理想)'!G56</f>
        <v>0</v>
      </c>
      <c r="H56" s="20">
        <f>'伤害统计(理想)'!H56</f>
        <v>0</v>
      </c>
      <c r="I56" s="20">
        <f>'伤害统计(理想)'!I56</f>
        <v>0</v>
      </c>
      <c r="J56" s="20">
        <f>'伤害统计(理想)'!J56</f>
        <v>0</v>
      </c>
      <c r="K56" s="20">
        <f>'伤害统计(理想)'!K56</f>
        <v>0</v>
      </c>
      <c r="L56" s="20">
        <f>'伤害统计(理想)'!L56</f>
        <v>0</v>
      </c>
      <c r="N56" s="20">
        <v>17</v>
      </c>
      <c r="O56" s="20" t="s">
        <v>984</v>
      </c>
      <c r="P56" s="20">
        <f>L66</f>
        <v>0</v>
      </c>
      <c r="Q56" s="20">
        <f>L98</f>
        <v>0</v>
      </c>
      <c r="R56" s="22">
        <f>Q56/SUM(Q40:Q56)</f>
        <v>0</v>
      </c>
      <c r="U56" s="29"/>
      <c r="V56" s="29"/>
      <c r="W56" s="29"/>
      <c r="X56" s="29"/>
      <c r="Y56" s="29"/>
      <c r="Z56" s="29"/>
      <c r="AA56" s="29"/>
      <c r="AB56" s="29"/>
      <c r="AC56" s="29"/>
    </row>
    <row r="57" spans="1:29">
      <c r="A57" s="20" t="str">
        <f>'伤害统计(理想)'!A57</f>
        <v>破(万世二段</v>
      </c>
      <c r="B57" s="20">
        <f>'伤害统计(理想)'!B57</f>
        <v>7</v>
      </c>
      <c r="C57" s="20">
        <f>'伤害统计(理想)'!C57</f>
        <v>0</v>
      </c>
      <c r="D57" s="20">
        <f>'伤害统计(理想)'!D57</f>
        <v>0</v>
      </c>
      <c r="E57" s="20">
        <f>'伤害统计(理想)'!E57</f>
        <v>0</v>
      </c>
      <c r="F57" s="20">
        <f>'伤害统计(理想)'!F57</f>
        <v>0</v>
      </c>
      <c r="G57" s="20">
        <f>'伤害统计(理想)'!G57</f>
        <v>0</v>
      </c>
      <c r="H57" s="20">
        <f>'伤害统计(理想)'!H57</f>
        <v>0</v>
      </c>
      <c r="I57" s="20">
        <f>'伤害统计(理想)'!I57</f>
        <v>0</v>
      </c>
      <c r="J57" s="20">
        <f>'伤害统计(理想)'!J57</f>
        <v>0</v>
      </c>
      <c r="K57" s="20">
        <f>'伤害统计(理想)'!K57</f>
        <v>7</v>
      </c>
      <c r="L57" s="20">
        <f>'伤害统计(理想)'!L57</f>
        <v>0</v>
      </c>
      <c r="U57" s="29"/>
      <c r="V57" s="29"/>
      <c r="W57" s="29"/>
      <c r="X57" s="29"/>
      <c r="Y57" s="29"/>
      <c r="Z57" s="29"/>
      <c r="AA57" s="29"/>
      <c r="AB57" s="29"/>
      <c r="AC57" s="29"/>
    </row>
    <row r="58" spans="1:29">
      <c r="A58" s="20" t="str">
        <f>'伤害统计(理想)'!A58</f>
        <v>三才化生</v>
      </c>
      <c r="B58" s="20">
        <f>'伤害统计(理想)'!B58</f>
        <v>14</v>
      </c>
      <c r="C58" s="20">
        <f>'伤害统计(理想)'!C58</f>
        <v>0</v>
      </c>
      <c r="D58" s="20">
        <f>'伤害统计(理想)'!D58</f>
        <v>0</v>
      </c>
      <c r="E58" s="20">
        <f>'伤害统计(理想)'!E58</f>
        <v>0</v>
      </c>
      <c r="F58" s="20">
        <f>'伤害统计(理想)'!F58</f>
        <v>0</v>
      </c>
      <c r="G58" s="20">
        <f>'伤害统计(理想)'!G58</f>
        <v>0</v>
      </c>
      <c r="H58" s="20">
        <f>'伤害统计(理想)'!H58</f>
        <v>0</v>
      </c>
      <c r="I58" s="20">
        <f>'伤害统计(理想)'!I58</f>
        <v>0</v>
      </c>
      <c r="J58" s="20">
        <f>'伤害统计(理想)'!J58</f>
        <v>0</v>
      </c>
      <c r="K58" s="20">
        <f>'伤害统计(理想)'!K58</f>
        <v>14</v>
      </c>
      <c r="L58" s="20">
        <f>'伤害统计(理想)'!L58</f>
        <v>14</v>
      </c>
      <c r="U58" s="29"/>
      <c r="V58" s="29"/>
      <c r="W58" s="29"/>
      <c r="X58" s="29"/>
      <c r="Y58" s="29"/>
      <c r="Z58" s="29"/>
      <c r="AA58" s="29"/>
      <c r="AB58" s="29"/>
      <c r="AC58" s="29"/>
    </row>
    <row r="59" spans="1:21">
      <c r="A59" s="20" t="str">
        <f>'伤害统计(理想)'!A59</f>
        <v>厚亡</v>
      </c>
      <c r="B59" s="20">
        <f>'伤害统计(理想)'!B59</f>
        <v>0</v>
      </c>
      <c r="C59" s="20">
        <f>'伤害统计(理想)'!C59</f>
        <v>0</v>
      </c>
      <c r="D59" s="20">
        <f>'伤害统计(理想)'!D59</f>
        <v>0</v>
      </c>
      <c r="E59" s="20">
        <f>'伤害统计(理想)'!E59</f>
        <v>0</v>
      </c>
      <c r="F59" s="20">
        <f>'伤害统计(理想)'!F59</f>
        <v>0</v>
      </c>
      <c r="G59" s="20">
        <f>'伤害统计(理想)'!G59</f>
        <v>0</v>
      </c>
      <c r="H59" s="20">
        <f>'伤害统计(理想)'!H59</f>
        <v>0</v>
      </c>
      <c r="I59" s="20">
        <f>'伤害统计(理想)'!I59</f>
        <v>0</v>
      </c>
      <c r="J59" s="20">
        <f>'伤害统计(理想)'!J59</f>
        <v>0</v>
      </c>
      <c r="K59" s="20">
        <f>'伤害统计(理想)'!K59</f>
        <v>0</v>
      </c>
      <c r="L59" s="20">
        <f>'伤害统计(理想)'!L59</f>
        <v>0</v>
      </c>
      <c r="U59" s="29"/>
    </row>
    <row r="60" spans="1:21">
      <c r="A60" s="20" t="str">
        <f>'伤害统计(理想)'!A60</f>
        <v>刃凌</v>
      </c>
      <c r="B60" s="20">
        <f>'伤害统计(理想)'!B60</f>
        <v>16</v>
      </c>
      <c r="C60" s="20">
        <f>'伤害统计(理想)'!C60</f>
        <v>0</v>
      </c>
      <c r="D60" s="20">
        <f>'伤害统计(理想)'!D60</f>
        <v>0</v>
      </c>
      <c r="E60" s="20">
        <f>'伤害统计(理想)'!E60</f>
        <v>5</v>
      </c>
      <c r="F60" s="20">
        <f>'伤害统计(理想)'!F60</f>
        <v>2</v>
      </c>
      <c r="G60" s="20">
        <f>'伤害统计(理想)'!G60</f>
        <v>0</v>
      </c>
      <c r="H60" s="20">
        <f>'伤害统计(理想)'!H60</f>
        <v>0</v>
      </c>
      <c r="I60" s="20">
        <f>'伤害统计(理想)'!I60</f>
        <v>0</v>
      </c>
      <c r="J60" s="20">
        <f>'伤害统计(理想)'!J60</f>
        <v>0</v>
      </c>
      <c r="K60" s="20">
        <f>'伤害统计(理想)'!K60</f>
        <v>23</v>
      </c>
      <c r="L60" s="20">
        <f>'伤害统计(理想)'!L60</f>
        <v>23</v>
      </c>
      <c r="U60" s="29"/>
    </row>
    <row r="61" spans="1:21">
      <c r="A61" s="20" t="str">
        <f>'伤害统计(理想)'!A61</f>
        <v>昆吾·弦刃</v>
      </c>
      <c r="B61" s="20">
        <f>'伤害统计(理想)'!B61</f>
        <v>14</v>
      </c>
      <c r="C61" s="20">
        <f>'伤害统计(理想)'!C61</f>
        <v>0</v>
      </c>
      <c r="D61" s="20">
        <f>'伤害统计(理想)'!D61</f>
        <v>0</v>
      </c>
      <c r="E61" s="20">
        <f>'伤害统计(理想)'!E61</f>
        <v>2</v>
      </c>
      <c r="F61" s="20">
        <f>'伤害统计(理想)'!F61</f>
        <v>0</v>
      </c>
      <c r="G61" s="20">
        <f>'伤害统计(理想)'!G61</f>
        <v>0</v>
      </c>
      <c r="H61" s="20">
        <f>'伤害统计(理想)'!H61</f>
        <v>0</v>
      </c>
      <c r="I61" s="20">
        <f>'伤害统计(理想)'!I61</f>
        <v>0</v>
      </c>
      <c r="J61" s="20">
        <f>'伤害统计(理想)'!J61</f>
        <v>0</v>
      </c>
      <c r="K61" s="20">
        <f>'伤害统计(理想)'!K61</f>
        <v>16</v>
      </c>
      <c r="L61" s="20">
        <f>'伤害统计(理想)'!L61</f>
        <v>16</v>
      </c>
      <c r="U61" s="29"/>
    </row>
    <row r="62" spans="1:35">
      <c r="A62" s="20" t="str">
        <f>'伤害统计(理想)'!A62</f>
        <v>腾空·三才</v>
      </c>
      <c r="B62" s="20">
        <f>'伤害统计(理想)'!B62</f>
        <v>0</v>
      </c>
      <c r="C62" s="20">
        <f>'伤害统计(理想)'!C62</f>
        <v>0</v>
      </c>
      <c r="D62" s="20">
        <f>'伤害统计(理想)'!D62</f>
        <v>0</v>
      </c>
      <c r="E62" s="20">
        <f>'伤害统计(理想)'!E62</f>
        <v>0</v>
      </c>
      <c r="F62" s="20">
        <f>'伤害统计(理想)'!F62</f>
        <v>0</v>
      </c>
      <c r="G62" s="20">
        <f>'伤害统计(理想)'!G62</f>
        <v>0</v>
      </c>
      <c r="H62" s="20">
        <f>'伤害统计(理想)'!H62</f>
        <v>0</v>
      </c>
      <c r="I62" s="20">
        <f>'伤害统计(理想)'!I62</f>
        <v>0</v>
      </c>
      <c r="J62" s="20">
        <f>'伤害统计(理想)'!J62</f>
        <v>0</v>
      </c>
      <c r="K62" s="20">
        <f>'伤害统计(理想)'!K62</f>
        <v>0</v>
      </c>
      <c r="L62" s="20">
        <f>'伤害统计(理想)'!L62</f>
        <v>0</v>
      </c>
      <c r="AH62" s="33"/>
      <c r="AI62" s="33"/>
    </row>
    <row r="63" spans="1:12">
      <c r="A63" s="20" t="str">
        <f>'伤害统计(理想)'!A63</f>
        <v>腾空·凭虚</v>
      </c>
      <c r="B63" s="20">
        <f>'伤害统计(理想)'!B63</f>
        <v>0</v>
      </c>
      <c r="C63" s="20">
        <f>'伤害统计(理想)'!C63</f>
        <v>0</v>
      </c>
      <c r="D63" s="20">
        <f>'伤害统计(理想)'!D63</f>
        <v>0</v>
      </c>
      <c r="E63" s="20">
        <f>'伤害统计(理想)'!E63</f>
        <v>0</v>
      </c>
      <c r="F63" s="20">
        <f>'伤害统计(理想)'!F63</f>
        <v>0</v>
      </c>
      <c r="G63" s="20">
        <f>'伤害统计(理想)'!G63</f>
        <v>0</v>
      </c>
      <c r="H63" s="20">
        <f>'伤害统计(理想)'!H63</f>
        <v>0</v>
      </c>
      <c r="I63" s="20">
        <f>'伤害统计(理想)'!I63</f>
        <v>0</v>
      </c>
      <c r="J63" s="20">
        <f>'伤害统计(理想)'!J63</f>
        <v>0</v>
      </c>
      <c r="K63" s="20">
        <f>'伤害统计(理想)'!K63</f>
        <v>0</v>
      </c>
      <c r="L63" s="20">
        <f>'伤害统计(理想)'!L63</f>
        <v>0</v>
      </c>
    </row>
    <row r="64" spans="1:33">
      <c r="A64" s="20" t="str">
        <f>'伤害统计(理想)'!A64</f>
        <v>腾空·凭虚·定</v>
      </c>
      <c r="B64" s="20">
        <f>'伤害统计(理想)'!B64</f>
        <v>0</v>
      </c>
      <c r="C64" s="20">
        <f>'伤害统计(理想)'!C64</f>
        <v>0</v>
      </c>
      <c r="D64" s="20">
        <f>'伤害统计(理想)'!D64</f>
        <v>0</v>
      </c>
      <c r="E64" s="20">
        <f>'伤害统计(理想)'!E64</f>
        <v>0</v>
      </c>
      <c r="F64" s="20">
        <f>'伤害统计(理想)'!F64</f>
        <v>0</v>
      </c>
      <c r="G64" s="20">
        <f>'伤害统计(理想)'!G64</f>
        <v>0</v>
      </c>
      <c r="H64" s="20">
        <f>'伤害统计(理想)'!H64</f>
        <v>0</v>
      </c>
      <c r="I64" s="20">
        <f>'伤害统计(理想)'!I64</f>
        <v>0</v>
      </c>
      <c r="J64" s="20">
        <f>'伤害统计(理想)'!J64</f>
        <v>0</v>
      </c>
      <c r="K64" s="20">
        <f>'伤害统计(理想)'!K64</f>
        <v>0</v>
      </c>
      <c r="L64" s="20">
        <f>'伤害统计(理想)'!L64</f>
        <v>0</v>
      </c>
      <c r="AG64" s="33"/>
    </row>
    <row r="65" spans="1:12">
      <c r="A65" s="20" t="str">
        <f>'伤害统计(理想)'!A65</f>
        <v>气竭(DOT)</v>
      </c>
      <c r="B65" s="20">
        <f>'伤害统计(理想)'!B65</f>
        <v>0</v>
      </c>
      <c r="C65" s="20">
        <f>'伤害统计(理想)'!C65</f>
        <v>0</v>
      </c>
      <c r="D65" s="20">
        <f>'伤害统计(理想)'!D65</f>
        <v>0</v>
      </c>
      <c r="E65" s="20">
        <f>'伤害统计(理想)'!E65</f>
        <v>0</v>
      </c>
      <c r="F65" s="20">
        <f>'伤害统计(理想)'!F65</f>
        <v>0</v>
      </c>
      <c r="G65" s="20">
        <f>'伤害统计(理想)'!G65</f>
        <v>0</v>
      </c>
      <c r="H65" s="20">
        <f>'伤害统计(理想)'!H65</f>
        <v>0</v>
      </c>
      <c r="I65" s="20">
        <f>'伤害统计(理想)'!I65</f>
        <v>0</v>
      </c>
      <c r="J65" s="20">
        <f>'伤害统计(理想)'!J65</f>
        <v>0</v>
      </c>
      <c r="K65" s="20">
        <f>'伤害统计(理想)'!K65</f>
        <v>0</v>
      </c>
      <c r="L65" s="20">
        <f>'伤害统计(理想)'!L65</f>
        <v>0</v>
      </c>
    </row>
    <row r="66" spans="1:12">
      <c r="A66" s="20" t="str">
        <f>'伤害统计(理想)'!A66</f>
        <v>星辰</v>
      </c>
      <c r="B66" s="20">
        <f>'伤害统计(理想)'!B66</f>
        <v>0</v>
      </c>
      <c r="C66" s="20">
        <f>'伤害统计(理想)'!C66</f>
        <v>0</v>
      </c>
      <c r="D66" s="20">
        <f>'伤害统计(理想)'!D66</f>
        <v>0</v>
      </c>
      <c r="E66" s="20">
        <f>'伤害统计(理想)'!E66</f>
        <v>0</v>
      </c>
      <c r="F66" s="20">
        <f>'伤害统计(理想)'!F66</f>
        <v>0</v>
      </c>
      <c r="G66" s="20">
        <f>'伤害统计(理想)'!G66</f>
        <v>0</v>
      </c>
      <c r="H66" s="20">
        <f>'伤害统计(理想)'!H66</f>
        <v>0</v>
      </c>
      <c r="I66" s="20">
        <f>'伤害统计(理想)'!I66</f>
        <v>0</v>
      </c>
      <c r="J66" s="20">
        <f>'伤害统计(理想)'!J66</f>
        <v>0</v>
      </c>
      <c r="K66" s="20">
        <f>'伤害统计(理想)'!K66</f>
        <v>0</v>
      </c>
      <c r="L66" s="20">
        <f>'伤害统计(理想)'!L66</f>
        <v>0</v>
      </c>
    </row>
    <row r="67" spans="1:12">
      <c r="A67" s="20" t="str">
        <f>'伤害统计(理想)'!A67</f>
        <v>四象轮回·神兵</v>
      </c>
      <c r="B67" s="20">
        <f>'伤害统计(理想)'!B67</f>
        <v>0</v>
      </c>
      <c r="C67" s="20">
        <f>'伤害统计(理想)'!C67</f>
        <v>0</v>
      </c>
      <c r="D67" s="20">
        <f>'伤害统计(理想)'!D67</f>
        <v>0</v>
      </c>
      <c r="E67" s="20">
        <f>'伤害统计(理想)'!E67</f>
        <v>0</v>
      </c>
      <c r="F67" s="20">
        <f>'伤害统计(理想)'!F67</f>
        <v>0</v>
      </c>
      <c r="G67" s="20">
        <f>'伤害统计(理想)'!G67</f>
        <v>0</v>
      </c>
      <c r="H67" s="20">
        <f>'伤害统计(理想)'!H67</f>
        <v>0</v>
      </c>
      <c r="I67" s="20">
        <f>'伤害统计(理想)'!I67</f>
        <v>0</v>
      </c>
      <c r="J67" s="20">
        <f>'伤害统计(理想)'!J67</f>
        <v>0</v>
      </c>
      <c r="K67" s="20">
        <f>'伤害统计(理想)'!K67</f>
        <v>0</v>
      </c>
      <c r="L67" s="20">
        <f>'伤害统计(理想)'!L67</f>
        <v>0</v>
      </c>
    </row>
    <row r="68" spans="33:33">
      <c r="AG68" s="33"/>
    </row>
    <row r="69" spans="2:12">
      <c r="B69" s="20" t="s">
        <v>365</v>
      </c>
      <c r="C69" s="20" t="s">
        <v>987</v>
      </c>
      <c r="D69" s="20" t="s">
        <v>988</v>
      </c>
      <c r="E69" s="20" t="s">
        <v>989</v>
      </c>
      <c r="F69" s="20" t="s">
        <v>990</v>
      </c>
      <c r="G69" s="20" t="s">
        <v>991</v>
      </c>
      <c r="H69" s="20" t="s">
        <v>992</v>
      </c>
      <c r="I69" s="20" t="s">
        <v>993</v>
      </c>
      <c r="L69" s="20" t="s">
        <v>996</v>
      </c>
    </row>
    <row r="70" spans="1:12">
      <c r="A70" s="20" t="s">
        <v>959</v>
      </c>
      <c r="B70" s="20">
        <f t="shared" ref="B70:B99" si="46">(AC2*(1-Q2)+AF2*Q2)*B38</f>
        <v>4393425.9068</v>
      </c>
      <c r="C70" s="20">
        <f t="shared" ref="C70:C99" si="47">(AI2*(1-S2)+AJ2*S2)*C38</f>
        <v>0</v>
      </c>
      <c r="D70" s="20">
        <f t="shared" ref="D70:D99" si="48">(AD2*(1-S2)+AG2*S2)*D38</f>
        <v>0</v>
      </c>
      <c r="E70" s="20">
        <f t="shared" ref="E70:E99" si="49">(AD2*(1-S2)+AM2*S2)*E38</f>
        <v>0</v>
      </c>
      <c r="F70" s="20">
        <f t="shared" ref="F70:F99" si="50">(AE2*(1-Q2)+AH2*Q2)*F38</f>
        <v>0</v>
      </c>
      <c r="G70" s="20">
        <f t="shared" ref="G70:G99" si="51">(AK2*(1-S2)+AL2*S2)*G38</f>
        <v>0</v>
      </c>
      <c r="H70" s="20">
        <f t="shared" ref="H70:H99" si="52">(AE2*(1-S2)+AH2*S2)*H38</f>
        <v>0</v>
      </c>
      <c r="I70" s="20">
        <f t="shared" ref="I70:I99" si="53">(AE2*(1-S2)+AN2*S2)*I38</f>
        <v>0</v>
      </c>
      <c r="K70" s="20">
        <f t="shared" ref="K70:K98" si="54">INT(SUM(B70:I70))</f>
        <v>4393425</v>
      </c>
      <c r="L70" s="20">
        <f>K70</f>
        <v>4393425</v>
      </c>
    </row>
    <row r="71" spans="1:12">
      <c r="A71" s="20" t="s">
        <v>960</v>
      </c>
      <c r="B71" s="20">
        <f t="shared" si="46"/>
        <v>7280977.374</v>
      </c>
      <c r="C71" s="20">
        <f t="shared" si="47"/>
        <v>0</v>
      </c>
      <c r="D71" s="20">
        <f t="shared" si="48"/>
        <v>652986.335</v>
      </c>
      <c r="E71" s="20">
        <f t="shared" si="49"/>
        <v>1397861.42</v>
      </c>
      <c r="F71" s="20">
        <f t="shared" si="50"/>
        <v>260470.7456</v>
      </c>
      <c r="G71" s="20">
        <f t="shared" si="51"/>
        <v>0</v>
      </c>
      <c r="H71" s="20">
        <f t="shared" si="52"/>
        <v>322331.544</v>
      </c>
      <c r="I71" s="20">
        <f t="shared" si="53"/>
        <v>604001.796</v>
      </c>
      <c r="K71" s="20">
        <f t="shared" si="54"/>
        <v>10518629</v>
      </c>
      <c r="L71" s="20">
        <f>SUM(K71:K75)</f>
        <v>65526321</v>
      </c>
    </row>
    <row r="72" spans="1:11">
      <c r="A72" s="20" t="s">
        <v>961</v>
      </c>
      <c r="B72" s="20">
        <f t="shared" si="46"/>
        <v>8176311.693</v>
      </c>
      <c r="C72" s="20">
        <f t="shared" si="47"/>
        <v>0</v>
      </c>
      <c r="D72" s="20">
        <f t="shared" si="48"/>
        <v>733268.805</v>
      </c>
      <c r="E72" s="20">
        <f t="shared" si="49"/>
        <v>1569730.41</v>
      </c>
      <c r="F72" s="20">
        <f t="shared" si="50"/>
        <v>292498.9484</v>
      </c>
      <c r="G72" s="20">
        <f t="shared" si="51"/>
        <v>0</v>
      </c>
      <c r="H72" s="20">
        <f t="shared" si="52"/>
        <v>361966.391</v>
      </c>
      <c r="I72" s="20">
        <f t="shared" si="53"/>
        <v>678272.742</v>
      </c>
      <c r="K72" s="20">
        <f t="shared" si="54"/>
        <v>11812048</v>
      </c>
    </row>
    <row r="73" spans="1:11">
      <c r="A73" s="20" t="s">
        <v>962</v>
      </c>
      <c r="B73" s="20">
        <f t="shared" si="46"/>
        <v>9071458.0308</v>
      </c>
      <c r="C73" s="20">
        <f t="shared" si="47"/>
        <v>0</v>
      </c>
      <c r="D73" s="20">
        <f t="shared" si="48"/>
        <v>813554.7425</v>
      </c>
      <c r="E73" s="20">
        <f t="shared" si="49"/>
        <v>1741599.4</v>
      </c>
      <c r="F73" s="20">
        <f t="shared" si="50"/>
        <v>324523.3536</v>
      </c>
      <c r="G73" s="20">
        <f t="shared" si="51"/>
        <v>0</v>
      </c>
      <c r="H73" s="20">
        <f t="shared" si="52"/>
        <v>401596.464</v>
      </c>
      <c r="I73" s="20">
        <f t="shared" si="53"/>
        <v>752531.366</v>
      </c>
      <c r="K73" s="20">
        <f t="shared" si="54"/>
        <v>13105263</v>
      </c>
    </row>
    <row r="74" spans="1:11">
      <c r="A74" s="20" t="s">
        <v>963</v>
      </c>
      <c r="B74" s="20">
        <f t="shared" si="46"/>
        <v>9966604.3686</v>
      </c>
      <c r="C74" s="20">
        <f t="shared" si="47"/>
        <v>0</v>
      </c>
      <c r="D74" s="20">
        <f t="shared" si="48"/>
        <v>893840.68</v>
      </c>
      <c r="E74" s="20">
        <f t="shared" si="49"/>
        <v>1913475.325</v>
      </c>
      <c r="F74" s="20">
        <f t="shared" si="50"/>
        <v>356547.7588</v>
      </c>
      <c r="G74" s="20">
        <f t="shared" si="51"/>
        <v>0</v>
      </c>
      <c r="H74" s="20">
        <f t="shared" si="52"/>
        <v>441226.537</v>
      </c>
      <c r="I74" s="20">
        <f t="shared" si="53"/>
        <v>826792.764</v>
      </c>
      <c r="K74" s="20">
        <f t="shared" si="54"/>
        <v>14398487</v>
      </c>
    </row>
    <row r="75" spans="1:11">
      <c r="A75" s="20" t="s">
        <v>964</v>
      </c>
      <c r="B75" s="20">
        <f t="shared" si="46"/>
        <v>10861938.6876</v>
      </c>
      <c r="C75" s="20">
        <f t="shared" si="47"/>
        <v>0</v>
      </c>
      <c r="D75" s="20">
        <f t="shared" si="48"/>
        <v>974126.6175</v>
      </c>
      <c r="E75" s="20">
        <f t="shared" si="49"/>
        <v>2085344.315</v>
      </c>
      <c r="F75" s="20">
        <f t="shared" si="50"/>
        <v>388573.0628</v>
      </c>
      <c r="G75" s="20">
        <f t="shared" si="51"/>
        <v>0</v>
      </c>
      <c r="H75" s="20">
        <f t="shared" si="52"/>
        <v>480857.997</v>
      </c>
      <c r="I75" s="20">
        <f t="shared" si="53"/>
        <v>901054.162</v>
      </c>
      <c r="K75" s="20">
        <f t="shared" si="54"/>
        <v>15691894</v>
      </c>
    </row>
    <row r="76" spans="1:12">
      <c r="A76" s="20" t="s">
        <v>965</v>
      </c>
      <c r="B76" s="20">
        <f t="shared" si="46"/>
        <v>1957378.4328</v>
      </c>
      <c r="C76" s="20">
        <f t="shared" si="47"/>
        <v>0</v>
      </c>
      <c r="D76" s="20">
        <f t="shared" si="48"/>
        <v>0</v>
      </c>
      <c r="E76" s="20">
        <f t="shared" si="49"/>
        <v>13185250.75</v>
      </c>
      <c r="F76" s="20">
        <f t="shared" si="50"/>
        <v>0</v>
      </c>
      <c r="G76" s="20">
        <f t="shared" si="51"/>
        <v>0</v>
      </c>
      <c r="H76" s="20">
        <f t="shared" si="52"/>
        <v>0</v>
      </c>
      <c r="I76" s="20">
        <f t="shared" si="53"/>
        <v>5697191.56</v>
      </c>
      <c r="K76" s="20">
        <f t="shared" si="54"/>
        <v>20839820</v>
      </c>
      <c r="L76" s="20">
        <f t="shared" ref="L76:L78" si="55">K76</f>
        <v>20839820</v>
      </c>
    </row>
    <row r="77" spans="1:12">
      <c r="A77" s="35" t="s">
        <v>966</v>
      </c>
      <c r="B77" s="20">
        <f t="shared" si="46"/>
        <v>357604.6712</v>
      </c>
      <c r="C77" s="20">
        <f t="shared" si="47"/>
        <v>0</v>
      </c>
      <c r="D77" s="20">
        <f t="shared" si="48"/>
        <v>0</v>
      </c>
      <c r="E77" s="20">
        <f t="shared" si="49"/>
        <v>0</v>
      </c>
      <c r="F77" s="20">
        <f t="shared" si="50"/>
        <v>0</v>
      </c>
      <c r="G77" s="20">
        <f t="shared" si="51"/>
        <v>0</v>
      </c>
      <c r="H77" s="20">
        <f t="shared" si="52"/>
        <v>0</v>
      </c>
      <c r="I77" s="20">
        <f t="shared" si="53"/>
        <v>0</v>
      </c>
      <c r="K77" s="20">
        <f t="shared" si="54"/>
        <v>357604</v>
      </c>
      <c r="L77" s="20">
        <f t="shared" si="55"/>
        <v>357604</v>
      </c>
    </row>
    <row r="78" spans="1:12">
      <c r="A78" s="20" t="s">
        <v>967</v>
      </c>
      <c r="B78" s="20">
        <f t="shared" si="46"/>
        <v>12736773.9156</v>
      </c>
      <c r="C78" s="20">
        <f t="shared" si="47"/>
        <v>0</v>
      </c>
      <c r="D78" s="20">
        <f t="shared" si="48"/>
        <v>2680760.5975</v>
      </c>
      <c r="E78" s="20">
        <f t="shared" si="49"/>
        <v>5765544.21</v>
      </c>
      <c r="F78" s="20">
        <f t="shared" si="50"/>
        <v>1041325.9536</v>
      </c>
      <c r="G78" s="20">
        <f t="shared" si="51"/>
        <v>0</v>
      </c>
      <c r="H78" s="20">
        <f t="shared" si="52"/>
        <v>1247723.244</v>
      </c>
      <c r="I78" s="20">
        <f t="shared" si="53"/>
        <v>2491246.424</v>
      </c>
      <c r="K78" s="20">
        <f t="shared" si="54"/>
        <v>25963374</v>
      </c>
      <c r="L78" s="20">
        <f t="shared" si="55"/>
        <v>25963374</v>
      </c>
    </row>
    <row r="79" spans="1:12">
      <c r="A79" s="20" t="s">
        <v>1001</v>
      </c>
      <c r="B79" s="20">
        <f t="shared" si="46"/>
        <v>10742921.0028</v>
      </c>
      <c r="C79" s="20">
        <f t="shared" si="47"/>
        <v>0</v>
      </c>
      <c r="D79" s="20">
        <f t="shared" si="48"/>
        <v>2251927.0225</v>
      </c>
      <c r="E79" s="20">
        <f t="shared" si="49"/>
        <v>7245007.23</v>
      </c>
      <c r="F79" s="20">
        <f t="shared" si="50"/>
        <v>861063.8688</v>
      </c>
      <c r="G79" s="20">
        <f t="shared" si="51"/>
        <v>0</v>
      </c>
      <c r="H79" s="20">
        <f t="shared" si="52"/>
        <v>1045201.192</v>
      </c>
      <c r="I79" s="20">
        <f t="shared" si="53"/>
        <v>3130516.02</v>
      </c>
      <c r="K79" s="20">
        <f t="shared" si="54"/>
        <v>25276636</v>
      </c>
      <c r="L79" s="20">
        <f>SUM(K79:K81)</f>
        <v>27821060</v>
      </c>
    </row>
    <row r="80" spans="1:11">
      <c r="A80" s="20" t="s">
        <v>969</v>
      </c>
      <c r="B80" s="20">
        <f t="shared" si="46"/>
        <v>2544424.3944</v>
      </c>
      <c r="C80" s="20">
        <f t="shared" si="47"/>
        <v>0</v>
      </c>
      <c r="D80" s="20">
        <f t="shared" si="48"/>
        <v>0</v>
      </c>
      <c r="E80" s="20">
        <f t="shared" si="49"/>
        <v>0</v>
      </c>
      <c r="F80" s="20">
        <f t="shared" si="50"/>
        <v>0</v>
      </c>
      <c r="G80" s="20">
        <f t="shared" si="51"/>
        <v>0</v>
      </c>
      <c r="H80" s="20">
        <f t="shared" si="52"/>
        <v>0</v>
      </c>
      <c r="I80" s="20">
        <f t="shared" si="53"/>
        <v>0</v>
      </c>
      <c r="K80" s="20">
        <f t="shared" si="54"/>
        <v>2544424</v>
      </c>
    </row>
    <row r="81" spans="1:11">
      <c r="A81" s="20" t="s">
        <v>970</v>
      </c>
      <c r="B81" s="20">
        <f t="shared" si="46"/>
        <v>0</v>
      </c>
      <c r="C81" s="20">
        <f t="shared" si="47"/>
        <v>0</v>
      </c>
      <c r="D81" s="20">
        <f t="shared" si="48"/>
        <v>0</v>
      </c>
      <c r="E81" s="20">
        <f t="shared" si="49"/>
        <v>0</v>
      </c>
      <c r="F81" s="20">
        <f t="shared" si="50"/>
        <v>0</v>
      </c>
      <c r="G81" s="20">
        <f t="shared" si="51"/>
        <v>0</v>
      </c>
      <c r="H81" s="20">
        <f t="shared" si="52"/>
        <v>0</v>
      </c>
      <c r="I81" s="20">
        <f t="shared" si="53"/>
        <v>0</v>
      </c>
      <c r="K81" s="20">
        <f t="shared" si="54"/>
        <v>0</v>
      </c>
    </row>
    <row r="82" spans="1:12">
      <c r="A82" s="35" t="s">
        <v>971</v>
      </c>
      <c r="B82" s="20">
        <f t="shared" si="46"/>
        <v>1040599.599</v>
      </c>
      <c r="C82" s="20">
        <f t="shared" si="47"/>
        <v>0</v>
      </c>
      <c r="D82" s="20">
        <f t="shared" si="48"/>
        <v>0</v>
      </c>
      <c r="E82" s="20">
        <f t="shared" si="49"/>
        <v>0</v>
      </c>
      <c r="F82" s="20">
        <f t="shared" si="50"/>
        <v>0</v>
      </c>
      <c r="G82" s="20">
        <f t="shared" si="51"/>
        <v>0</v>
      </c>
      <c r="H82" s="20">
        <f t="shared" si="52"/>
        <v>0</v>
      </c>
      <c r="I82" s="20">
        <f t="shared" si="53"/>
        <v>0</v>
      </c>
      <c r="K82" s="20">
        <f t="shared" si="54"/>
        <v>1040599</v>
      </c>
      <c r="L82" s="20">
        <f>SUM(K82:K86)</f>
        <v>12816424</v>
      </c>
    </row>
    <row r="83" spans="1:11">
      <c r="A83" s="35" t="s">
        <v>972</v>
      </c>
      <c r="B83" s="20">
        <f t="shared" si="46"/>
        <v>648376.6704</v>
      </c>
      <c r="C83" s="20">
        <f t="shared" si="47"/>
        <v>0</v>
      </c>
      <c r="D83" s="20">
        <f t="shared" si="48"/>
        <v>0</v>
      </c>
      <c r="E83" s="20">
        <f t="shared" si="49"/>
        <v>1027363.9975</v>
      </c>
      <c r="F83" s="20">
        <f t="shared" si="50"/>
        <v>0</v>
      </c>
      <c r="G83" s="20">
        <f t="shared" si="51"/>
        <v>0</v>
      </c>
      <c r="H83" s="20">
        <f t="shared" si="52"/>
        <v>0</v>
      </c>
      <c r="I83" s="20">
        <f t="shared" si="53"/>
        <v>443913.383</v>
      </c>
      <c r="K83" s="20">
        <f t="shared" si="54"/>
        <v>2119654</v>
      </c>
    </row>
    <row r="84" spans="1:11">
      <c r="A84" s="35" t="s">
        <v>973</v>
      </c>
      <c r="B84" s="20">
        <f t="shared" si="46"/>
        <v>816467.9064</v>
      </c>
      <c r="C84" s="20">
        <f t="shared" si="47"/>
        <v>0</v>
      </c>
      <c r="D84" s="20">
        <f t="shared" si="48"/>
        <v>0</v>
      </c>
      <c r="E84" s="20">
        <f t="shared" si="49"/>
        <v>1293705.805</v>
      </c>
      <c r="F84" s="20">
        <f t="shared" si="50"/>
        <v>0</v>
      </c>
      <c r="G84" s="20">
        <f t="shared" si="51"/>
        <v>0</v>
      </c>
      <c r="H84" s="20">
        <f t="shared" si="52"/>
        <v>0</v>
      </c>
      <c r="I84" s="20">
        <f t="shared" si="53"/>
        <v>559002.444</v>
      </c>
      <c r="K84" s="20">
        <f t="shared" si="54"/>
        <v>2669176</v>
      </c>
    </row>
    <row r="85" spans="1:11">
      <c r="A85" s="35" t="s">
        <v>974</v>
      </c>
      <c r="B85" s="20">
        <f t="shared" si="46"/>
        <v>984570.5352</v>
      </c>
      <c r="C85" s="20">
        <f t="shared" si="47"/>
        <v>0</v>
      </c>
      <c r="D85" s="20">
        <f t="shared" si="48"/>
        <v>0</v>
      </c>
      <c r="E85" s="20">
        <f t="shared" si="49"/>
        <v>1560063.015</v>
      </c>
      <c r="F85" s="20">
        <f t="shared" si="50"/>
        <v>0</v>
      </c>
      <c r="G85" s="20">
        <f t="shared" si="51"/>
        <v>0</v>
      </c>
      <c r="H85" s="20">
        <f t="shared" si="52"/>
        <v>0</v>
      </c>
      <c r="I85" s="20">
        <f t="shared" si="53"/>
        <v>674093.505</v>
      </c>
      <c r="K85" s="20">
        <f t="shared" si="54"/>
        <v>3218727</v>
      </c>
    </row>
    <row r="86" spans="1:11">
      <c r="A86" s="35" t="s">
        <v>975</v>
      </c>
      <c r="B86" s="20">
        <f t="shared" si="46"/>
        <v>1152670.4676</v>
      </c>
      <c r="C86" s="20">
        <f t="shared" si="47"/>
        <v>0</v>
      </c>
      <c r="D86" s="20">
        <f t="shared" si="48"/>
        <v>0</v>
      </c>
      <c r="E86" s="20">
        <f t="shared" si="49"/>
        <v>1826416.7575</v>
      </c>
      <c r="F86" s="20">
        <f t="shared" si="50"/>
        <v>0</v>
      </c>
      <c r="G86" s="20">
        <f t="shared" si="51"/>
        <v>0</v>
      </c>
      <c r="H86" s="20">
        <f t="shared" si="52"/>
        <v>0</v>
      </c>
      <c r="I86" s="20">
        <f t="shared" si="53"/>
        <v>789181.179</v>
      </c>
      <c r="K86" s="20">
        <f t="shared" si="54"/>
        <v>3768268</v>
      </c>
    </row>
    <row r="87" spans="1:12">
      <c r="A87" s="20" t="s">
        <v>976</v>
      </c>
      <c r="B87" s="20">
        <f t="shared" si="46"/>
        <v>26322701.5548</v>
      </c>
      <c r="C87" s="20">
        <f t="shared" si="47"/>
        <v>0</v>
      </c>
      <c r="D87" s="20">
        <f t="shared" si="48"/>
        <v>3149412.4025</v>
      </c>
      <c r="E87" s="20">
        <f t="shared" si="49"/>
        <v>10113050.58</v>
      </c>
      <c r="F87" s="20">
        <f t="shared" si="50"/>
        <v>1194236.962</v>
      </c>
      <c r="G87" s="20">
        <f t="shared" si="51"/>
        <v>0</v>
      </c>
      <c r="H87" s="20">
        <f t="shared" si="52"/>
        <v>1458897.505</v>
      </c>
      <c r="I87" s="20">
        <f t="shared" si="53"/>
        <v>4369776.933</v>
      </c>
      <c r="K87" s="20">
        <f t="shared" si="54"/>
        <v>46608075</v>
      </c>
      <c r="L87" s="20">
        <f>SUM(K87:K89)</f>
        <v>49074734</v>
      </c>
    </row>
    <row r="88" spans="1:11">
      <c r="A88" s="20" t="s">
        <v>977</v>
      </c>
      <c r="B88" s="20">
        <f t="shared" si="46"/>
        <v>0</v>
      </c>
      <c r="C88" s="20">
        <f t="shared" si="47"/>
        <v>0</v>
      </c>
      <c r="D88" s="20">
        <f t="shared" si="48"/>
        <v>0</v>
      </c>
      <c r="E88" s="20">
        <f t="shared" si="49"/>
        <v>0</v>
      </c>
      <c r="F88" s="20">
        <f t="shared" si="50"/>
        <v>0</v>
      </c>
      <c r="G88" s="20">
        <f t="shared" si="51"/>
        <v>0</v>
      </c>
      <c r="H88" s="20">
        <f t="shared" si="52"/>
        <v>0</v>
      </c>
      <c r="I88" s="20">
        <f t="shared" si="53"/>
        <v>0</v>
      </c>
      <c r="K88" s="20">
        <f t="shared" si="54"/>
        <v>0</v>
      </c>
    </row>
    <row r="89" spans="1:11">
      <c r="A89" s="20" t="s">
        <v>978</v>
      </c>
      <c r="B89" s="20">
        <f t="shared" si="46"/>
        <v>2466659.7424</v>
      </c>
      <c r="C89" s="20">
        <f t="shared" si="47"/>
        <v>0</v>
      </c>
      <c r="D89" s="20">
        <f t="shared" si="48"/>
        <v>0</v>
      </c>
      <c r="E89" s="20">
        <f t="shared" si="49"/>
        <v>0</v>
      </c>
      <c r="F89" s="20">
        <f t="shared" si="50"/>
        <v>0</v>
      </c>
      <c r="G89" s="20">
        <f t="shared" si="51"/>
        <v>0</v>
      </c>
      <c r="H89" s="20">
        <f t="shared" si="52"/>
        <v>0</v>
      </c>
      <c r="I89" s="20">
        <f t="shared" si="53"/>
        <v>0</v>
      </c>
      <c r="K89" s="20">
        <f t="shared" si="54"/>
        <v>2466659</v>
      </c>
    </row>
    <row r="90" spans="1:12">
      <c r="A90" s="35" t="s">
        <v>979</v>
      </c>
      <c r="B90" s="20">
        <f t="shared" si="46"/>
        <v>107004.044</v>
      </c>
      <c r="C90" s="20">
        <f t="shared" si="47"/>
        <v>0</v>
      </c>
      <c r="D90" s="20">
        <f t="shared" si="48"/>
        <v>0</v>
      </c>
      <c r="E90" s="20">
        <f t="shared" si="49"/>
        <v>0</v>
      </c>
      <c r="F90" s="20">
        <f t="shared" si="50"/>
        <v>0</v>
      </c>
      <c r="G90" s="20">
        <f t="shared" si="51"/>
        <v>0</v>
      </c>
      <c r="H90" s="20">
        <f t="shared" si="52"/>
        <v>0</v>
      </c>
      <c r="I90" s="20">
        <f t="shared" si="53"/>
        <v>0</v>
      </c>
      <c r="K90" s="20">
        <f t="shared" si="54"/>
        <v>107004</v>
      </c>
      <c r="L90" s="20">
        <f t="shared" ref="L90:L98" si="56">K90</f>
        <v>107004</v>
      </c>
    </row>
    <row r="91" spans="1:12">
      <c r="A91" s="35" t="s">
        <v>364</v>
      </c>
      <c r="B91" s="20">
        <f t="shared" si="46"/>
        <v>0</v>
      </c>
      <c r="C91" s="20">
        <f t="shared" si="47"/>
        <v>0</v>
      </c>
      <c r="D91" s="20">
        <f t="shared" si="48"/>
        <v>0</v>
      </c>
      <c r="E91" s="20">
        <f t="shared" si="49"/>
        <v>0</v>
      </c>
      <c r="F91" s="20">
        <f t="shared" si="50"/>
        <v>0</v>
      </c>
      <c r="G91" s="20">
        <f t="shared" si="51"/>
        <v>0</v>
      </c>
      <c r="H91" s="20">
        <f t="shared" si="52"/>
        <v>0</v>
      </c>
      <c r="I91" s="20">
        <f t="shared" si="53"/>
        <v>0</v>
      </c>
      <c r="K91" s="20">
        <f t="shared" si="54"/>
        <v>0</v>
      </c>
      <c r="L91" s="20">
        <f t="shared" si="56"/>
        <v>0</v>
      </c>
    </row>
    <row r="92" spans="1:12">
      <c r="A92" s="35" t="s">
        <v>980</v>
      </c>
      <c r="B92" s="20">
        <f t="shared" si="46"/>
        <v>391133.1616</v>
      </c>
      <c r="C92" s="20">
        <f t="shared" si="47"/>
        <v>0</v>
      </c>
      <c r="D92" s="20">
        <f t="shared" si="48"/>
        <v>0</v>
      </c>
      <c r="E92" s="20">
        <f t="shared" si="49"/>
        <v>232295.53</v>
      </c>
      <c r="F92" s="20">
        <f t="shared" si="50"/>
        <v>82297.3704</v>
      </c>
      <c r="G92" s="20">
        <f t="shared" si="51"/>
        <v>0</v>
      </c>
      <c r="H92" s="20">
        <f t="shared" si="52"/>
        <v>0</v>
      </c>
      <c r="I92" s="20">
        <f t="shared" si="53"/>
        <v>0</v>
      </c>
      <c r="K92" s="20">
        <f t="shared" si="54"/>
        <v>705726</v>
      </c>
      <c r="L92" s="20">
        <f t="shared" si="56"/>
        <v>705726</v>
      </c>
    </row>
    <row r="93" spans="1:12">
      <c r="A93" s="35" t="s">
        <v>981</v>
      </c>
      <c r="B93" s="20">
        <f t="shared" si="46"/>
        <v>614941.9416</v>
      </c>
      <c r="C93" s="20">
        <f t="shared" si="47"/>
        <v>0</v>
      </c>
      <c r="D93" s="20">
        <f t="shared" si="48"/>
        <v>0</v>
      </c>
      <c r="E93" s="20">
        <f t="shared" si="49"/>
        <v>167039.486</v>
      </c>
      <c r="F93" s="20">
        <f t="shared" si="50"/>
        <v>0</v>
      </c>
      <c r="G93" s="20">
        <f t="shared" si="51"/>
        <v>0</v>
      </c>
      <c r="H93" s="20">
        <f t="shared" si="52"/>
        <v>0</v>
      </c>
      <c r="I93" s="20">
        <f t="shared" si="53"/>
        <v>0</v>
      </c>
      <c r="K93" s="20">
        <f t="shared" si="54"/>
        <v>781981</v>
      </c>
      <c r="L93" s="20">
        <f t="shared" si="56"/>
        <v>781981</v>
      </c>
    </row>
    <row r="94" spans="1:12">
      <c r="A94" s="35" t="s">
        <v>72</v>
      </c>
      <c r="B94" s="20">
        <f t="shared" si="46"/>
        <v>0</v>
      </c>
      <c r="C94" s="20">
        <f t="shared" si="47"/>
        <v>0</v>
      </c>
      <c r="D94" s="20">
        <f t="shared" si="48"/>
        <v>0</v>
      </c>
      <c r="E94" s="20">
        <f t="shared" si="49"/>
        <v>0</v>
      </c>
      <c r="F94" s="20">
        <f t="shared" si="50"/>
        <v>0</v>
      </c>
      <c r="G94" s="20">
        <f t="shared" si="51"/>
        <v>0</v>
      </c>
      <c r="H94" s="20">
        <f t="shared" si="52"/>
        <v>0</v>
      </c>
      <c r="I94" s="20">
        <f t="shared" si="53"/>
        <v>0</v>
      </c>
      <c r="K94" s="20">
        <f t="shared" si="54"/>
        <v>0</v>
      </c>
      <c r="L94" s="20">
        <f t="shared" si="56"/>
        <v>0</v>
      </c>
    </row>
    <row r="95" spans="1:12">
      <c r="A95" s="35" t="s">
        <v>70</v>
      </c>
      <c r="B95" s="20">
        <f t="shared" si="46"/>
        <v>0</v>
      </c>
      <c r="C95" s="20">
        <f t="shared" si="47"/>
        <v>0</v>
      </c>
      <c r="D95" s="20">
        <f t="shared" si="48"/>
        <v>0</v>
      </c>
      <c r="E95" s="20">
        <f t="shared" si="49"/>
        <v>0</v>
      </c>
      <c r="F95" s="20">
        <f t="shared" si="50"/>
        <v>0</v>
      </c>
      <c r="G95" s="20">
        <f t="shared" si="51"/>
        <v>0</v>
      </c>
      <c r="H95" s="20">
        <f t="shared" si="52"/>
        <v>0</v>
      </c>
      <c r="I95" s="20">
        <f t="shared" si="53"/>
        <v>0</v>
      </c>
      <c r="K95" s="20">
        <f t="shared" si="54"/>
        <v>0</v>
      </c>
      <c r="L95" s="20">
        <f t="shared" si="56"/>
        <v>0</v>
      </c>
    </row>
    <row r="96" spans="1:12">
      <c r="A96" s="35" t="s">
        <v>982</v>
      </c>
      <c r="B96" s="20">
        <f t="shared" si="46"/>
        <v>0</v>
      </c>
      <c r="C96" s="20">
        <f t="shared" si="47"/>
        <v>0</v>
      </c>
      <c r="D96" s="20">
        <f t="shared" si="48"/>
        <v>0</v>
      </c>
      <c r="E96" s="20">
        <f t="shared" si="49"/>
        <v>0</v>
      </c>
      <c r="F96" s="20">
        <f t="shared" si="50"/>
        <v>0</v>
      </c>
      <c r="G96" s="20">
        <f t="shared" si="51"/>
        <v>0</v>
      </c>
      <c r="H96" s="20">
        <f t="shared" si="52"/>
        <v>0</v>
      </c>
      <c r="I96" s="20">
        <f t="shared" si="53"/>
        <v>0</v>
      </c>
      <c r="K96" s="20">
        <f t="shared" si="54"/>
        <v>0</v>
      </c>
      <c r="L96" s="20">
        <f t="shared" si="56"/>
        <v>0</v>
      </c>
    </row>
    <row r="97" spans="1:12">
      <c r="A97" s="20" t="s">
        <v>983</v>
      </c>
      <c r="B97" s="20">
        <f t="shared" si="46"/>
        <v>0</v>
      </c>
      <c r="C97" s="20">
        <f t="shared" si="47"/>
        <v>0</v>
      </c>
      <c r="D97" s="20">
        <f t="shared" si="48"/>
        <v>0</v>
      </c>
      <c r="E97" s="20">
        <f t="shared" si="49"/>
        <v>0</v>
      </c>
      <c r="F97" s="20">
        <f t="shared" si="50"/>
        <v>0</v>
      </c>
      <c r="G97" s="20">
        <f t="shared" si="51"/>
        <v>0</v>
      </c>
      <c r="H97" s="20">
        <f t="shared" si="52"/>
        <v>0</v>
      </c>
      <c r="I97" s="20">
        <f t="shared" si="53"/>
        <v>0</v>
      </c>
      <c r="K97" s="20">
        <f t="shared" si="54"/>
        <v>0</v>
      </c>
      <c r="L97" s="20">
        <f t="shared" si="56"/>
        <v>0</v>
      </c>
    </row>
    <row r="98" spans="1:12">
      <c r="A98" s="35" t="s">
        <v>984</v>
      </c>
      <c r="B98" s="20">
        <f t="shared" si="46"/>
        <v>0</v>
      </c>
      <c r="C98" s="20">
        <f t="shared" si="47"/>
        <v>0</v>
      </c>
      <c r="D98" s="20">
        <f t="shared" si="48"/>
        <v>0</v>
      </c>
      <c r="E98" s="20">
        <f t="shared" si="49"/>
        <v>0</v>
      </c>
      <c r="F98" s="20">
        <f t="shared" si="50"/>
        <v>0</v>
      </c>
      <c r="G98" s="20">
        <f t="shared" si="51"/>
        <v>0</v>
      </c>
      <c r="H98" s="20">
        <f t="shared" si="52"/>
        <v>0</v>
      </c>
      <c r="I98" s="20">
        <f t="shared" si="53"/>
        <v>0</v>
      </c>
      <c r="K98" s="20">
        <f t="shared" si="54"/>
        <v>0</v>
      </c>
      <c r="L98" s="20">
        <f t="shared" si="56"/>
        <v>0</v>
      </c>
    </row>
    <row r="99" spans="1:9">
      <c r="A99" s="20" t="s">
        <v>985</v>
      </c>
      <c r="B99" s="20">
        <f t="shared" si="46"/>
        <v>0</v>
      </c>
      <c r="C99" s="20">
        <f t="shared" si="47"/>
        <v>0</v>
      </c>
      <c r="D99" s="20">
        <f t="shared" si="48"/>
        <v>0</v>
      </c>
      <c r="E99" s="20">
        <f t="shared" si="49"/>
        <v>0</v>
      </c>
      <c r="F99" s="20">
        <f t="shared" si="50"/>
        <v>0</v>
      </c>
      <c r="G99" s="20">
        <f t="shared" si="51"/>
        <v>0</v>
      </c>
      <c r="H99" s="20">
        <f t="shared" si="52"/>
        <v>0</v>
      </c>
      <c r="I99" s="20">
        <f t="shared" si="53"/>
        <v>0</v>
      </c>
    </row>
    <row r="100" spans="9:9">
      <c r="I100" s="20">
        <f>INT(SUM(B70:I99)+(SUM(B70:I99)*8/35*1%*30%+SUM(B70:I99)*8/35*5%*70%)*额外增益统计!D168)</f>
        <v>210197476</v>
      </c>
    </row>
    <row r="101" spans="9:9">
      <c r="I101" s="20">
        <f>INT(SUM(B70:I99))</f>
        <v>208387482</v>
      </c>
    </row>
  </sheetData>
  <conditionalFormatting sqref="R40:R5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{a6414422-f05d-492a-bff2-fc24668a4a38}</x14:id>
        </ext>
      </extLst>
    </cfRule>
  </conditionalFormatting>
  <pageMargins left="0.75" right="0.75" top="1" bottom="1" header="0.5" footer="0.5"/>
  <pageSetup paperSize="9" orientation="portrait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6414422-f05d-492a-bff2-fc24668a4a3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R40:R56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0"/>
  <sheetViews>
    <sheetView workbookViewId="0">
      <selection activeCell="B55" sqref="B55"/>
    </sheetView>
  </sheetViews>
  <sheetFormatPr defaultColWidth="9.64166666666667" defaultRowHeight="13.5"/>
  <cols>
    <col min="1" max="1" width="14.75" customWidth="1"/>
    <col min="2" max="3" width="12.625"/>
    <col min="4" max="4" width="13.75"/>
    <col min="5" max="5" width="12.625"/>
    <col min="6" max="6" width="11.375" customWidth="1"/>
    <col min="7" max="7" width="9.75" customWidth="1"/>
    <col min="8" max="8" width="8.875" customWidth="1"/>
    <col min="9" max="9" width="11.25" customWidth="1"/>
    <col min="10" max="10" width="10" customWidth="1"/>
    <col min="11" max="11" width="14.25" customWidth="1"/>
    <col min="12" max="14" width="8.875" customWidth="1"/>
    <col min="15" max="15" width="15" customWidth="1"/>
    <col min="16" max="16" width="8.875" customWidth="1"/>
    <col min="17" max="18" width="12.625"/>
    <col min="19" max="19" width="19.125" customWidth="1"/>
    <col min="20" max="20" width="13.125" customWidth="1"/>
    <col min="21" max="21" width="16.25" customWidth="1"/>
    <col min="22" max="22" width="22.25" customWidth="1"/>
    <col min="23" max="24" width="12.875" customWidth="1"/>
  </cols>
  <sheetData>
    <row r="1" spans="1:22">
      <c r="A1" t="s">
        <v>1037</v>
      </c>
      <c r="V1" t="e">
        <f>INT(S3*(O3+P3+0.25))</f>
        <v>#VALUE!</v>
      </c>
    </row>
    <row r="2" spans="2:24">
      <c r="B2" t="s">
        <v>924</v>
      </c>
      <c r="C2" t="s">
        <v>25</v>
      </c>
      <c r="D2" t="s">
        <v>926</v>
      </c>
      <c r="E2" t="s">
        <v>927</v>
      </c>
      <c r="F2" t="s">
        <v>928</v>
      </c>
      <c r="G2" t="s">
        <v>929</v>
      </c>
      <c r="H2" t="s">
        <v>930</v>
      </c>
      <c r="I2" t="s">
        <v>931</v>
      </c>
      <c r="J2" t="s">
        <v>933</v>
      </c>
      <c r="K2" t="s">
        <v>38</v>
      </c>
      <c r="L2" t="s">
        <v>934</v>
      </c>
      <c r="M2" t="s">
        <v>28</v>
      </c>
      <c r="N2" t="s">
        <v>1038</v>
      </c>
      <c r="O2" t="s">
        <v>32</v>
      </c>
      <c r="P2" t="s">
        <v>1039</v>
      </c>
      <c r="Q2" t="s">
        <v>947</v>
      </c>
      <c r="R2" t="s">
        <v>948</v>
      </c>
      <c r="S2" t="s">
        <v>949</v>
      </c>
      <c r="T2" t="s">
        <v>950</v>
      </c>
      <c r="U2" t="s">
        <v>951</v>
      </c>
      <c r="V2" t="s">
        <v>952</v>
      </c>
      <c r="W2" t="s">
        <v>953</v>
      </c>
      <c r="X2" t="s">
        <v>954</v>
      </c>
    </row>
    <row r="3" spans="1:22">
      <c r="A3" t="s">
        <v>1040</v>
      </c>
      <c r="B3">
        <v>2726</v>
      </c>
      <c r="C3">
        <f>属性计算面板!B3</f>
        <v>45792</v>
      </c>
      <c r="D3">
        <f>(Q3/(E3*(1+F3+G3)*(1+H3)*(1+I3)*(1-J3)*(1+K3)*(1-L3))-B3)/C3</f>
        <v>0.0143783745030632</v>
      </c>
      <c r="E3">
        <v>1</v>
      </c>
      <c r="F3">
        <v>0.09</v>
      </c>
      <c r="G3">
        <v>0.1</v>
      </c>
      <c r="H3">
        <v>0.2</v>
      </c>
      <c r="I3">
        <f>属性计算面板!B6</f>
        <v>0.472</v>
      </c>
      <c r="J3">
        <f>27550*(1-60%-额外增益统计!L74)/(27550*(1-60%-额外增益统计!L74)+51164.55)</f>
        <v>0.177214436704937</v>
      </c>
      <c r="K3">
        <f>属性计算面板!B7</f>
        <v>0.3473</v>
      </c>
      <c r="L3" s="16">
        <v>0.2</v>
      </c>
      <c r="M3">
        <f>属性计算面板!B4</f>
        <v>0.4994</v>
      </c>
      <c r="O3">
        <f>属性计算面板!B5</f>
        <v>2.0895</v>
      </c>
      <c r="Q3">
        <v>6309</v>
      </c>
      <c r="R3">
        <f>INT((B3+(C3+属性计算面板!B2*50%)*D3)*E3*(1+F3+G3)*(1+H3)*(1+I3)*(1-J3)*(1+K3)*(1-L3))</f>
        <v>6770</v>
      </c>
      <c r="S3" t="e">
        <f>INT((B3+(C3+属性计算面板!B2*50%)*D3)*E3*(1+F3+G3)*(1+H3)*(1+I3+8.1%*按提示输入属性!D62+10.59%*按提示输入属性!#REF!)*(1-J3)*(1+K3)*(1-L3))</f>
        <v>#VALUE!</v>
      </c>
      <c r="T3">
        <f>INT(Q3*(O3+P3))</f>
        <v>13182</v>
      </c>
      <c r="U3">
        <f>INT(R3*(O3+P3+0.25))</f>
        <v>15838</v>
      </c>
      <c r="V3" t="e">
        <f>INT(S3*(O3+P3+0.25))</f>
        <v>#VALUE!</v>
      </c>
    </row>
    <row r="4" spans="12:12">
      <c r="L4" s="16"/>
    </row>
    <row r="5" ht="14.25" spans="1:24">
      <c r="A5" s="8" t="s">
        <v>959</v>
      </c>
      <c r="B5">
        <v>600</v>
      </c>
      <c r="C5">
        <f>属性计算面板!B3</f>
        <v>45792</v>
      </c>
      <c r="D5" s="9">
        <v>2.171875</v>
      </c>
      <c r="E5" s="10">
        <v>1</v>
      </c>
      <c r="F5" s="11">
        <v>0.12</v>
      </c>
      <c r="G5" s="11">
        <v>0</v>
      </c>
      <c r="H5" s="11">
        <f>0.2+按提示输入属性!D65*1.6</f>
        <v>1.8</v>
      </c>
      <c r="I5" s="16">
        <f>属性计算面板!B6</f>
        <v>0.472</v>
      </c>
      <c r="J5" s="16">
        <f>27550*(1-60%-额外增益统计!L74)/(27550/2+51164.55)</f>
        <v>0.169696279078004</v>
      </c>
      <c r="K5" s="16">
        <f>属性计算面板!B7</f>
        <v>0.3473</v>
      </c>
      <c r="L5" s="16">
        <v>0.2</v>
      </c>
      <c r="M5" s="16">
        <f>属性计算面板!B4</f>
        <v>0.4994</v>
      </c>
      <c r="N5" s="16">
        <v>0.1</v>
      </c>
      <c r="O5" s="16">
        <f>属性计算面板!B5</f>
        <v>2.0895</v>
      </c>
      <c r="P5" s="16">
        <v>0.1</v>
      </c>
      <c r="Q5">
        <f>INT(INT(B5+C5*D5)*E5*(1+F5+G5)*(1+H5)*(1+I5)*(1-J5)*(1+K5)*(1-L5))</f>
        <v>413342</v>
      </c>
      <c r="R5">
        <f>INT((B5+(C5+属性计算面板!B2*50%)*D5)*E5*(1+F5+G5)*(1+H5)*(1+I5)*(1-J5)*(1+K5)*(1-L5))</f>
        <v>567669</v>
      </c>
      <c r="S5" t="e">
        <f>INT((B5+(C5+属性计算面板!B2*50%)*D5)*E5*(1+F5+G5)*(1+H5)*(1+I5+8.1%*按提示输入属性!D62+10.59%*按提示输入属性!#REF!)*(1-J5)*(1+K5)*(1-L5))</f>
        <v>#VALUE!</v>
      </c>
      <c r="T5">
        <f>INT(Q5*(O5+P5))</f>
        <v>905012</v>
      </c>
      <c r="U5">
        <f>INT(R5*(O5+P5+0.25))</f>
        <v>1384828</v>
      </c>
      <c r="V5" t="e">
        <f>INT(S5*(O5+P5+0.25))</f>
        <v>#VALUE!</v>
      </c>
      <c r="W5">
        <f>INT((B5+(C5+属性计算面板!B2*25%)*D5)*E5*(1+F5+G5)*(1+H5)*(1+I5)*(1-J5)*(1+K5)*(1-L5))</f>
        <v>490507</v>
      </c>
      <c r="X5">
        <f>INT(W5*(O5+P5+0.25))</f>
        <v>1196591</v>
      </c>
    </row>
    <row r="6" ht="14.25" spans="1:24">
      <c r="A6" s="8" t="s">
        <v>960</v>
      </c>
      <c r="B6">
        <v>50</v>
      </c>
      <c r="C6">
        <f>属性计算面板!B3</f>
        <v>45792</v>
      </c>
      <c r="D6" s="12">
        <v>0.192708333</v>
      </c>
      <c r="E6" s="10">
        <v>1</v>
      </c>
      <c r="F6" s="11">
        <v>0.12</v>
      </c>
      <c r="G6" s="11">
        <f>0+0.1*按提示输入属性!D54</f>
        <v>0.1</v>
      </c>
      <c r="H6" s="11">
        <f>0.2+按提示输入属性!D65*1.6</f>
        <v>1.8</v>
      </c>
      <c r="I6" s="16">
        <f>属性计算面板!B6</f>
        <v>0.472</v>
      </c>
      <c r="J6" s="16">
        <f>27550*(1-60%-额外增益统计!L74)/(27550/2+51164.55)</f>
        <v>0.169696279078004</v>
      </c>
      <c r="K6" s="16">
        <f>属性计算面板!B7</f>
        <v>0.3473</v>
      </c>
      <c r="L6" s="16">
        <v>0.2</v>
      </c>
      <c r="M6" s="16">
        <f>属性计算面板!B4</f>
        <v>0.4994</v>
      </c>
      <c r="N6" s="16">
        <v>0.1</v>
      </c>
      <c r="O6" s="16">
        <f>属性计算面板!B5</f>
        <v>2.0895</v>
      </c>
      <c r="P6" s="16">
        <v>0.1</v>
      </c>
      <c r="Q6">
        <f>INT(INT(B6+C6*D6)*E6*(1+F6+G6)*(1+H6)*(1+I6)*(1-J6)*(1+K6)*(1-L6))</f>
        <v>39933</v>
      </c>
      <c r="R6">
        <f>INT((B6+(C6+属性计算面板!B2*50%)*D6)*E6*(1+F6+G6)*(1+H6)*(1+I6)*(1-J6)*(1+K6)*(1-L6))</f>
        <v>54851</v>
      </c>
      <c r="S6" t="e">
        <f>INT((B6+(C6+属性计算面板!B2*50%)*D6)*E6*(1+F6+G6)*(1+H6)*(1+I6+8.1%*按提示输入属性!D62+10.59%*按提示输入属性!#REF!)*(1-J6)*(1+K6)*(1-L6))</f>
        <v>#VALUE!</v>
      </c>
      <c r="T6">
        <f t="shared" ref="T5:T29" si="0">INT(Q6*(O6+P6))</f>
        <v>87433</v>
      </c>
      <c r="U6">
        <f t="shared" ref="U5:U29" si="1">INT(R6*(O6+P6+0.25))</f>
        <v>133809</v>
      </c>
      <c r="V6" t="e">
        <f t="shared" ref="V5:V29" si="2">INT(S6*(O6+P6+0.25))</f>
        <v>#VALUE!</v>
      </c>
      <c r="W6">
        <f>INT((B6+(C6+属性计算面板!B2*25%)*D6)*E6*(1+F6+G6)*(1+H6)*(1+I6)*(1-J6)*(1+K6)*(1-L6))</f>
        <v>47393</v>
      </c>
      <c r="X6">
        <f t="shared" ref="X5:X29" si="3">INT(W6*(O6+P6+0.25))</f>
        <v>115615</v>
      </c>
    </row>
    <row r="7" ht="14.25" spans="1:24">
      <c r="A7" s="8" t="s">
        <v>961</v>
      </c>
      <c r="B7">
        <v>50</v>
      </c>
      <c r="C7">
        <f>属性计算面板!B3</f>
        <v>45792</v>
      </c>
      <c r="D7" s="12">
        <v>0.192708333</v>
      </c>
      <c r="E7" s="10">
        <v>1</v>
      </c>
      <c r="F7" s="11">
        <v>0.12</v>
      </c>
      <c r="G7" s="11">
        <f>0.15+0.1*按提示输入属性!D54</f>
        <v>0.25</v>
      </c>
      <c r="H7" s="11">
        <f>0.2+按提示输入属性!D65*1.6</f>
        <v>1.8</v>
      </c>
      <c r="I7" s="16">
        <f>属性计算面板!B6</f>
        <v>0.472</v>
      </c>
      <c r="J7" s="16">
        <f>27550*(1-60%-额外增益统计!L74)/(27550/2+51164.55)</f>
        <v>0.169696279078004</v>
      </c>
      <c r="K7" s="16">
        <f>属性计算面板!B7</f>
        <v>0.3473</v>
      </c>
      <c r="L7" s="16">
        <v>0.2</v>
      </c>
      <c r="M7" s="16">
        <f>属性计算面板!B4</f>
        <v>0.4994</v>
      </c>
      <c r="N7" s="16">
        <v>0.1</v>
      </c>
      <c r="O7" s="16">
        <f>属性计算面板!B5</f>
        <v>2.0895</v>
      </c>
      <c r="P7" s="16">
        <v>0.1</v>
      </c>
      <c r="Q7">
        <f t="shared" ref="Q7:Q29" si="4">INT((B7+C7*D7)*E7*(1+F7+G7)*(1+H7)*(1+I7)*(1-J7)*(1+K7)*(1-L7))</f>
        <v>44845</v>
      </c>
      <c r="R7">
        <f>INT((B7+(C7+属性计算面板!B2*50%)*D7)*E7*(1+F7+G7)*(1+H7)*(1+I7)*(1-J7)*(1+K7)*(1-L7))</f>
        <v>61595</v>
      </c>
      <c r="S7" t="e">
        <f>INT((B7+(C7+属性计算面板!B2*50%)*D7)*E7*(1+F7+G7)*(1+H7)*(1+I7+8.1%*按提示输入属性!D62+10.59%*按提示输入属性!#REF!)*(1-J7)*(1+K7)*(1-L7))</f>
        <v>#VALUE!</v>
      </c>
      <c r="T7">
        <f t="shared" si="0"/>
        <v>98188</v>
      </c>
      <c r="U7">
        <f t="shared" si="1"/>
        <v>150261</v>
      </c>
      <c r="V7" t="e">
        <f t="shared" si="2"/>
        <v>#VALUE!</v>
      </c>
      <c r="W7">
        <f>INT((B7+(C7+属性计算面板!B2*25%)*D7)*E7*(1+F7+G7)*(1+H7)*(1+I7)*(1-J7)*(1+K7)*(1-L7))</f>
        <v>53220</v>
      </c>
      <c r="X7">
        <f t="shared" si="3"/>
        <v>129830</v>
      </c>
    </row>
    <row r="8" ht="14.25" spans="1:24">
      <c r="A8" s="8" t="s">
        <v>962</v>
      </c>
      <c r="B8">
        <v>50</v>
      </c>
      <c r="C8">
        <f>属性计算面板!B3</f>
        <v>45792</v>
      </c>
      <c r="D8" s="12">
        <v>0.192708333</v>
      </c>
      <c r="E8" s="10">
        <v>1</v>
      </c>
      <c r="F8" s="11">
        <v>0.12</v>
      </c>
      <c r="G8" s="11">
        <f>0.3+0.1*按提示输入属性!D54</f>
        <v>0.4</v>
      </c>
      <c r="H8" s="11">
        <f>0.2+按提示输入属性!D65*1.6</f>
        <v>1.8</v>
      </c>
      <c r="I8" s="16">
        <f>属性计算面板!B6</f>
        <v>0.472</v>
      </c>
      <c r="J8" s="16">
        <f>27550*(1-60%-额外增益统计!L74)/(27550/2+51164.55)</f>
        <v>0.169696279078004</v>
      </c>
      <c r="K8" s="16">
        <f>属性计算面板!B7</f>
        <v>0.3473</v>
      </c>
      <c r="L8" s="16">
        <v>0.2</v>
      </c>
      <c r="M8" s="16">
        <f>属性计算面板!B4</f>
        <v>0.4994</v>
      </c>
      <c r="N8" s="16">
        <v>0.1</v>
      </c>
      <c r="O8" s="16">
        <f>属性计算面板!B5</f>
        <v>2.0895</v>
      </c>
      <c r="P8" s="16">
        <v>0.1</v>
      </c>
      <c r="Q8">
        <f t="shared" si="4"/>
        <v>49755</v>
      </c>
      <c r="R8">
        <f>INT((B8+(C8+属性计算面板!B2*50%)*D8)*E8*(1+F8+G8)*(1+H8)*(1+I8)*(1-J8)*(1+K8)*(1-L8))</f>
        <v>68339</v>
      </c>
      <c r="S8" t="e">
        <f>INT((B8+(C8+属性计算面板!B2*50%)*D8)*E8*(1+F8+G8)*(1+H8)*(1+I8+8.1%*按提示输入属性!D62+10.59%*按提示输入属性!#REF!)*(1-J8)*(1+K8)*(1-L8))</f>
        <v>#VALUE!</v>
      </c>
      <c r="T8">
        <f t="shared" si="0"/>
        <v>108938</v>
      </c>
      <c r="U8">
        <f t="shared" si="1"/>
        <v>166712</v>
      </c>
      <c r="V8" t="e">
        <f t="shared" si="2"/>
        <v>#VALUE!</v>
      </c>
      <c r="W8">
        <f>INT((B8+(C8+属性计算面板!B2*25%)*D8)*E8*(1+F8+G8)*(1+H8)*(1+I8)*(1-J8)*(1+K8)*(1-L8))</f>
        <v>59047</v>
      </c>
      <c r="X8">
        <f t="shared" si="3"/>
        <v>144045</v>
      </c>
    </row>
    <row r="9" ht="14.25" spans="1:24">
      <c r="A9" s="8" t="s">
        <v>963</v>
      </c>
      <c r="B9">
        <v>50</v>
      </c>
      <c r="C9">
        <f>属性计算面板!B3</f>
        <v>45792</v>
      </c>
      <c r="D9" s="12">
        <v>0.192708333</v>
      </c>
      <c r="E9" s="10">
        <v>1</v>
      </c>
      <c r="F9" s="11">
        <v>0.12</v>
      </c>
      <c r="G9" s="11">
        <f>0.45+0.1*按提示输入属性!D54</f>
        <v>0.55</v>
      </c>
      <c r="H9" s="11">
        <f>0.2+按提示输入属性!D65*1.6</f>
        <v>1.8</v>
      </c>
      <c r="I9" s="16">
        <f>属性计算面板!B6</f>
        <v>0.472</v>
      </c>
      <c r="J9" s="16">
        <f>27550*(1-60%-额外增益统计!L74)/(27550/2+51164.55)</f>
        <v>0.169696279078004</v>
      </c>
      <c r="K9" s="16">
        <f>属性计算面板!B7</f>
        <v>0.3473</v>
      </c>
      <c r="L9" s="16">
        <v>0.2</v>
      </c>
      <c r="M9" s="16">
        <f>属性计算面板!B4</f>
        <v>0.4994</v>
      </c>
      <c r="N9" s="16">
        <v>0.1</v>
      </c>
      <c r="O9" s="16">
        <f>属性计算面板!B5</f>
        <v>2.0895</v>
      </c>
      <c r="P9" s="16">
        <v>0.1</v>
      </c>
      <c r="Q9">
        <f t="shared" si="4"/>
        <v>54666</v>
      </c>
      <c r="R9">
        <f>INT((B9+(C9+属性计算面板!B2*50%)*D9)*E9*(1+F9+G9)*(1+H9)*(1+I9)*(1-J9)*(1+K9)*(1-L9))</f>
        <v>75083</v>
      </c>
      <c r="S9" t="e">
        <f>INT((B9+(C9+属性计算面板!B2*50%)*D9)*E9*(1+F9+G9)*(1+H9)*(1+I9+8.1%*按提示输入属性!D62+10.59%*按提示输入属性!#REF!)*(1-J9)*(1+K9)*(1-L9))</f>
        <v>#VALUE!</v>
      </c>
      <c r="T9">
        <f t="shared" si="0"/>
        <v>119691</v>
      </c>
      <c r="U9">
        <f t="shared" si="1"/>
        <v>183164</v>
      </c>
      <c r="V9" t="e">
        <f t="shared" si="2"/>
        <v>#VALUE!</v>
      </c>
      <c r="W9">
        <f>INT((B9+(C9+属性计算面板!B2*25%)*D9)*E9*(1+F9+G9)*(1+H9)*(1+I9)*(1-J9)*(1+K9)*(1-L9))</f>
        <v>64874</v>
      </c>
      <c r="X9">
        <f t="shared" si="3"/>
        <v>158260</v>
      </c>
    </row>
    <row r="10" ht="14.25" spans="1:24">
      <c r="A10" s="8" t="s">
        <v>964</v>
      </c>
      <c r="B10">
        <v>50</v>
      </c>
      <c r="C10">
        <f>属性计算面板!B3</f>
        <v>45792</v>
      </c>
      <c r="D10" s="12">
        <v>0.192708333</v>
      </c>
      <c r="E10" s="10">
        <v>1</v>
      </c>
      <c r="F10" s="11">
        <v>0.12</v>
      </c>
      <c r="G10" s="13">
        <f>0.6+0.1*按提示输入属性!D54</f>
        <v>0.7</v>
      </c>
      <c r="H10" s="11">
        <f>0.2+按提示输入属性!D65*1.6</f>
        <v>1.8</v>
      </c>
      <c r="I10" s="16">
        <f>属性计算面板!B6</f>
        <v>0.472</v>
      </c>
      <c r="J10" s="16">
        <f>27550*(1-60%-额外增益统计!L74)/(27550/2+51164.55)</f>
        <v>0.169696279078004</v>
      </c>
      <c r="K10" s="16">
        <f>属性计算面板!B7</f>
        <v>0.3473</v>
      </c>
      <c r="L10" s="16">
        <v>0.2</v>
      </c>
      <c r="M10" s="16">
        <f>属性计算面板!B4</f>
        <v>0.4994</v>
      </c>
      <c r="N10" s="16">
        <v>0.1</v>
      </c>
      <c r="O10" s="16">
        <f>属性计算面板!B5</f>
        <v>2.0895</v>
      </c>
      <c r="P10" s="16">
        <v>0.1</v>
      </c>
      <c r="Q10">
        <f t="shared" si="4"/>
        <v>59576</v>
      </c>
      <c r="R10">
        <f>INT((B10+(C10+属性计算面板!B2*50%)*D10)*E10*(1+F10+G10)*(1+H10)*(1+I10)*(1-J10)*(1+K10)*(1-L10))</f>
        <v>81827</v>
      </c>
      <c r="S10" t="e">
        <f>INT((B10+(C10+属性计算面板!B2*50%)*D10)*E10*(1+F10+G10)*(1+H10)*(1+I10+8.1%*按提示输入属性!D62+10.59%*按提示输入属性!#REF!)*(1-J10)*(1+K10)*(1-L10))</f>
        <v>#VALUE!</v>
      </c>
      <c r="T10">
        <f t="shared" si="0"/>
        <v>130441</v>
      </c>
      <c r="U10">
        <f t="shared" si="1"/>
        <v>199616</v>
      </c>
      <c r="V10" t="e">
        <f t="shared" si="2"/>
        <v>#VALUE!</v>
      </c>
      <c r="W10">
        <f>INT((B10+(C10+属性计算面板!B2*25%)*D10)*E10*(1+F10+G10)*(1+H10)*(1+I10)*(1-J10)*(1+K10)*(1-L10))</f>
        <v>70701</v>
      </c>
      <c r="X10">
        <f t="shared" si="3"/>
        <v>172475</v>
      </c>
    </row>
    <row r="11" ht="14.25" spans="1:24">
      <c r="A11" s="8" t="s">
        <v>967</v>
      </c>
      <c r="B11">
        <v>2087</v>
      </c>
      <c r="C11">
        <f>属性计算面板!B3</f>
        <v>45792</v>
      </c>
      <c r="D11" s="12">
        <v>1.109375</v>
      </c>
      <c r="E11" s="10">
        <v>1</v>
      </c>
      <c r="F11" s="14"/>
      <c r="G11" s="14"/>
      <c r="H11" s="11">
        <v>0.2</v>
      </c>
      <c r="I11" s="16">
        <f>属性计算面板!B6</f>
        <v>0.472</v>
      </c>
      <c r="J11" s="16">
        <f>27550*(1-60%-额外增益统计!L74)/(27550/2+51164.55)</f>
        <v>0.169696279078004</v>
      </c>
      <c r="K11" s="16">
        <f>属性计算面板!B7</f>
        <v>0.3473</v>
      </c>
      <c r="L11" s="16">
        <v>0.2</v>
      </c>
      <c r="M11" s="16">
        <f>属性计算面板!B4</f>
        <v>0.4994</v>
      </c>
      <c r="N11" s="16">
        <v>0.17</v>
      </c>
      <c r="O11" s="16">
        <f>属性计算面板!B5</f>
        <v>2.0895</v>
      </c>
      <c r="P11" s="16">
        <v>0.1</v>
      </c>
      <c r="Q11">
        <f t="shared" si="4"/>
        <v>83605</v>
      </c>
      <c r="R11">
        <f>INT((B11+(C11+属性计算面板!B2*50%)*D11)*E11*(1+F11+G11)*(1+H11)*(1+I11)*(1-J11)*(1+K11)*(1-L11))</f>
        <v>113769</v>
      </c>
      <c r="S11" t="e">
        <f>INT((B11+(C11+属性计算面板!B2*50%)*D11)*E11*(1+F11+G11)*(1+H11)*(1+I11+8.1%*按提示输入属性!D62+10.59%*按提示输入属性!#REF!)*(1-J11)*(1+K11)*(1-L11))</f>
        <v>#VALUE!</v>
      </c>
      <c r="T11">
        <f t="shared" si="0"/>
        <v>183053</v>
      </c>
      <c r="U11">
        <f t="shared" si="1"/>
        <v>277539</v>
      </c>
      <c r="V11" t="e">
        <f t="shared" si="2"/>
        <v>#VALUE!</v>
      </c>
      <c r="W11">
        <f>INT((B11+(C11+属性计算面板!B2*25%)*D11)*E11*(1+F11+G11)*(1+H11)*(1+I11)*(1-J11)*(1+K11)*(1-L11))</f>
        <v>98687</v>
      </c>
      <c r="X11">
        <f t="shared" si="3"/>
        <v>240746</v>
      </c>
    </row>
    <row r="12" ht="14.25" spans="1:24">
      <c r="A12" s="8" t="s">
        <v>968</v>
      </c>
      <c r="B12">
        <v>2726</v>
      </c>
      <c r="C12">
        <f>属性计算面板!B3</f>
        <v>45792</v>
      </c>
      <c r="D12" s="12">
        <v>1.515625</v>
      </c>
      <c r="E12" s="10">
        <v>1</v>
      </c>
      <c r="F12" s="14">
        <v>0.09</v>
      </c>
      <c r="G12" s="14" t="e">
        <f>10%*按提示输入属性!#REF!</f>
        <v>#REF!</v>
      </c>
      <c r="H12" s="11">
        <v>0.2</v>
      </c>
      <c r="I12" s="16">
        <f>属性计算面板!B6</f>
        <v>0.472</v>
      </c>
      <c r="J12" s="16">
        <f>27550*(1-60%-额外增益统计!L74)/(27550/2+51164.55)</f>
        <v>0.169696279078004</v>
      </c>
      <c r="K12" s="16">
        <f>属性计算面板!B7</f>
        <v>0.3473</v>
      </c>
      <c r="L12" s="16">
        <v>0.2</v>
      </c>
      <c r="M12" s="16">
        <f>属性计算面板!B4</f>
        <v>0.4994</v>
      </c>
      <c r="N12" s="16">
        <v>0.04</v>
      </c>
      <c r="O12" s="16">
        <f>属性计算面板!B5</f>
        <v>2.0895</v>
      </c>
      <c r="P12" s="16"/>
      <c r="Q12" t="e">
        <f t="shared" si="4"/>
        <v>#REF!</v>
      </c>
      <c r="R12" t="e">
        <f>INT((B12+(C12+属性计算面板!B2*50%)*D12)*E12*(1+F12+G12)*(1+H12)*(1+I12)*(1-J12)*(1+K12)*(1-L12))</f>
        <v>#REF!</v>
      </c>
      <c r="S12" t="e">
        <f>INT((B12+(C12+属性计算面板!B2*50%)*D12)*E12*(1+F12+G12)*(1+H12)*(1+I12+8.1%*按提示输入属性!D62+10.59%*按提示输入属性!#REF!)*(1-J12)*(1+K12)*(1-L12))</f>
        <v>#REF!</v>
      </c>
      <c r="T12" t="e">
        <f t="shared" si="0"/>
        <v>#REF!</v>
      </c>
      <c r="U12" t="e">
        <f t="shared" si="1"/>
        <v>#REF!</v>
      </c>
      <c r="V12" t="e">
        <f t="shared" si="2"/>
        <v>#REF!</v>
      </c>
      <c r="W12" t="e">
        <f>INT((B12+(C12+属性计算面板!B2*25%)*D12)*E12*(1+F12+G12)*(1+H12)*(1+I12)*(1-J12)*(1+K12)*(1-L12))</f>
        <v>#REF!</v>
      </c>
      <c r="X12" t="e">
        <f t="shared" si="3"/>
        <v>#REF!</v>
      </c>
    </row>
    <row r="13" ht="14.25" spans="1:24">
      <c r="A13" s="8" t="s">
        <v>969</v>
      </c>
      <c r="B13">
        <v>2435</v>
      </c>
      <c r="C13">
        <f>属性计算面板!B3</f>
        <v>45792</v>
      </c>
      <c r="D13" s="12">
        <v>1.239583333</v>
      </c>
      <c r="E13" s="10">
        <v>1</v>
      </c>
      <c r="F13" s="14">
        <v>0.09</v>
      </c>
      <c r="G13" s="14" t="e">
        <f>10%*按提示输入属性!#REF!</f>
        <v>#REF!</v>
      </c>
      <c r="H13" s="11">
        <v>0.2</v>
      </c>
      <c r="I13" s="16">
        <f>属性计算面板!B6</f>
        <v>0.472</v>
      </c>
      <c r="J13" s="16">
        <f>27550*(1-60%-额外增益统计!L74)/(27550/2+51164.55)</f>
        <v>0.169696279078004</v>
      </c>
      <c r="K13" s="16">
        <f>属性计算面板!B7</f>
        <v>0.3473</v>
      </c>
      <c r="L13" s="16">
        <v>0.2</v>
      </c>
      <c r="M13" s="16">
        <f>属性计算面板!B4</f>
        <v>0.4994</v>
      </c>
      <c r="N13" s="16">
        <v>0.04</v>
      </c>
      <c r="O13" s="16">
        <f>属性计算面板!B5</f>
        <v>2.0895</v>
      </c>
      <c r="P13" s="16"/>
      <c r="Q13" t="e">
        <f t="shared" si="4"/>
        <v>#REF!</v>
      </c>
      <c r="R13" t="e">
        <f>INT((B13+(C13+属性计算面板!B3*50%)*D13)*E13*(1+F13+G13)*(1+H13)*(1+I13)*(1-J13)*(1+K13)*(1-L13))</f>
        <v>#REF!</v>
      </c>
      <c r="S13" t="e">
        <f>INT((B13+(C13+属性计算面板!B3*50%)*D13)*E13*(1+F13+G13)*(1+H13)*(1+I13+8.1%*按提示输入属性!D62+10.59%*按提示输入属性!#REF!)*(1-J13)*(1+K13)*(1-L13))</f>
        <v>#REF!</v>
      </c>
      <c r="T13" t="e">
        <f t="shared" si="0"/>
        <v>#REF!</v>
      </c>
      <c r="U13" t="e">
        <f t="shared" si="1"/>
        <v>#REF!</v>
      </c>
      <c r="V13" t="e">
        <f t="shared" si="2"/>
        <v>#REF!</v>
      </c>
      <c r="W13" t="e">
        <f>INT((B13+(C13+属性计算面板!B2*25%)*D13)*E13*(1+F13+G13)*(1+H13)*(1+I13)*(1-J13)*(1+K13)*(1-L13))</f>
        <v>#REF!</v>
      </c>
      <c r="X13" t="e">
        <f t="shared" si="3"/>
        <v>#REF!</v>
      </c>
    </row>
    <row r="14" ht="14.25" spans="1:24">
      <c r="A14" s="8" t="s">
        <v>970</v>
      </c>
      <c r="B14">
        <v>2180</v>
      </c>
      <c r="C14">
        <f>属性计算面板!B3</f>
        <v>45792</v>
      </c>
      <c r="D14" s="12">
        <v>1.104166667</v>
      </c>
      <c r="E14" s="10">
        <v>1</v>
      </c>
      <c r="F14" s="14">
        <v>0.09</v>
      </c>
      <c r="G14" s="14" t="e">
        <f>10%*按提示输入属性!#REF!</f>
        <v>#REF!</v>
      </c>
      <c r="H14" s="11">
        <v>0.2</v>
      </c>
      <c r="I14" s="16">
        <f>属性计算面板!B6</f>
        <v>0.472</v>
      </c>
      <c r="J14" s="16">
        <f>27550*(1-60%-额外增益统计!L74)/(27550/2+51164.55)</f>
        <v>0.169696279078004</v>
      </c>
      <c r="K14" s="16">
        <f>属性计算面板!B7</f>
        <v>0.3473</v>
      </c>
      <c r="L14" s="16">
        <v>0.2</v>
      </c>
      <c r="M14" s="16">
        <f>属性计算面板!B4</f>
        <v>0.4994</v>
      </c>
      <c r="N14" s="16">
        <v>0.04</v>
      </c>
      <c r="O14" s="16">
        <f>属性计算面板!B5</f>
        <v>2.0895</v>
      </c>
      <c r="P14" s="16"/>
      <c r="Q14" t="e">
        <f t="shared" si="4"/>
        <v>#REF!</v>
      </c>
      <c r="R14" t="e">
        <f>INT((B14+(C14+属性计算面板!B4*50%)*D14)*E14*(1+F14+G14)*(1+H14)*(1+I14)*(1-J14)*(1+K14)*(1-L14))</f>
        <v>#REF!</v>
      </c>
      <c r="S14" t="e">
        <f>INT((B14+(C14+属性计算面板!B4*50%)*D14)*E14*(1+F14+G14)*(1+H14)*(1+I14+8.1%*按提示输入属性!D62+10.59%*按提示输入属性!#REF!)*(1-J14)*(1+K14)*(1-L14))</f>
        <v>#REF!</v>
      </c>
      <c r="T14" t="e">
        <f t="shared" si="0"/>
        <v>#REF!</v>
      </c>
      <c r="U14" t="e">
        <f t="shared" si="1"/>
        <v>#REF!</v>
      </c>
      <c r="V14" t="e">
        <f t="shared" si="2"/>
        <v>#REF!</v>
      </c>
      <c r="W14" t="e">
        <f>INT((B14+(C14+属性计算面板!B2*25%)*D14)*E14*(1+F14+G14)*(1+H14)*(1+I14)*(1-J14)*(1+K14)*(1-L14))</f>
        <v>#REF!</v>
      </c>
      <c r="X14" t="e">
        <f t="shared" si="3"/>
        <v>#REF!</v>
      </c>
    </row>
    <row r="15" ht="14.25" spans="1:24">
      <c r="A15" s="8" t="s">
        <v>971</v>
      </c>
      <c r="B15">
        <v>116</v>
      </c>
      <c r="C15">
        <f>属性计算面板!B3</f>
        <v>45792</v>
      </c>
      <c r="D15" s="12">
        <v>0.854166667</v>
      </c>
      <c r="E15" s="10">
        <v>1</v>
      </c>
      <c r="F15" s="14"/>
      <c r="G15" s="14">
        <v>0.1</v>
      </c>
      <c r="H15" s="11">
        <v>0.2</v>
      </c>
      <c r="I15" s="16">
        <f>属性计算面板!B6</f>
        <v>0.472</v>
      </c>
      <c r="J15" s="16">
        <f>27550*(1-60%-额外增益统计!L74)/(27550/2+51164.55)</f>
        <v>0.169696279078004</v>
      </c>
      <c r="K15" s="16">
        <f>属性计算面板!B7</f>
        <v>0.3473</v>
      </c>
      <c r="L15" s="16">
        <v>0.2</v>
      </c>
      <c r="M15" s="16">
        <f>属性计算面板!B4</f>
        <v>0.4994</v>
      </c>
      <c r="N15" s="16"/>
      <c r="O15" s="16">
        <f>属性计算面板!B5</f>
        <v>2.0895</v>
      </c>
      <c r="P15" s="16"/>
      <c r="Q15">
        <f t="shared" si="4"/>
        <v>68216</v>
      </c>
      <c r="R15">
        <f>INT((B15+(C15+属性计算面板!B2*50%)*D15)*E15*(1+F15+G15)*(1+H15)*(1+I15)*(1-J15)*(1+K15)*(1-L15))</f>
        <v>93764</v>
      </c>
      <c r="S15" t="e">
        <f>INT((B15+(C15+属性计算面板!B2*50%)*D15)*E15*(1+F15+G15)*(1+H15)*(1+I15+8.1%*按提示输入属性!D62+10.59%*按提示输入属性!#REF!)*(1-J15)*(1+K15)*(1-L15))</f>
        <v>#VALUE!</v>
      </c>
      <c r="T15">
        <f t="shared" si="0"/>
        <v>142537</v>
      </c>
      <c r="U15">
        <f t="shared" si="1"/>
        <v>219360</v>
      </c>
      <c r="V15" t="e">
        <f t="shared" si="2"/>
        <v>#VALUE!</v>
      </c>
      <c r="W15">
        <f>INT((B15+(C15+属性计算面板!B2*25%)*D15)*E15*(1+F15+G15)*(1+H15)*(1+I15)*(1-J15)*(1+K15)*(1-L15))</f>
        <v>80990</v>
      </c>
      <c r="X15">
        <f t="shared" si="3"/>
        <v>189476</v>
      </c>
    </row>
    <row r="16" ht="14.25" spans="1:24">
      <c r="A16" s="8" t="s">
        <v>972</v>
      </c>
      <c r="B16">
        <v>116</v>
      </c>
      <c r="C16">
        <f>属性计算面板!B3</f>
        <v>45792</v>
      </c>
      <c r="D16" s="12">
        <v>0.854166667</v>
      </c>
      <c r="E16" s="10">
        <v>1</v>
      </c>
      <c r="F16" s="14"/>
      <c r="G16" s="15">
        <v>0.35</v>
      </c>
      <c r="H16" s="11">
        <v>0.2</v>
      </c>
      <c r="I16" s="16">
        <f>属性计算面板!B6</f>
        <v>0.472</v>
      </c>
      <c r="J16" s="16">
        <f>27550*(1-60%-额外增益统计!L74)/(27550/2+51164.55)</f>
        <v>0.169696279078004</v>
      </c>
      <c r="K16" s="16">
        <f>属性计算面板!B7</f>
        <v>0.3473</v>
      </c>
      <c r="L16" s="16">
        <v>0.2</v>
      </c>
      <c r="M16" s="16">
        <f>属性计算面板!B4</f>
        <v>0.4994</v>
      </c>
      <c r="N16" s="16"/>
      <c r="O16" s="16">
        <f>属性计算面板!B5</f>
        <v>2.0895</v>
      </c>
      <c r="P16" s="16"/>
      <c r="Q16">
        <f t="shared" si="4"/>
        <v>83720</v>
      </c>
      <c r="R16">
        <f>INT((B16+(C16+属性计算面板!B2*50%)*D16)*E16*(1+F16+G16)*(1+H16)*(1+I16)*(1-J16)*(1+K16)*(1-L16))</f>
        <v>115074</v>
      </c>
      <c r="S16" t="e">
        <f>INT((B16+(C16+属性计算面板!B2*50%)*D16)*E16*(1+F16+G16)*(1+H16)*(1+I16+8.1%*按提示输入属性!D62+10.59%*按提示输入属性!#REF!)*(1-J16)*(1+K16)*(1-L16))</f>
        <v>#VALUE!</v>
      </c>
      <c r="T16">
        <f t="shared" si="0"/>
        <v>174932</v>
      </c>
      <c r="U16">
        <f t="shared" si="1"/>
        <v>269215</v>
      </c>
      <c r="V16" t="e">
        <f t="shared" si="2"/>
        <v>#VALUE!</v>
      </c>
      <c r="W16">
        <f>INT((B16+(C16+属性计算面板!B2*25%)*D16)*E16*(1+F16+G16)*(1+H16)*(1+I16)*(1-J16)*(1+K16)*(1-L16))</f>
        <v>99397</v>
      </c>
      <c r="X16">
        <f t="shared" si="3"/>
        <v>232539</v>
      </c>
    </row>
    <row r="17" ht="14.25" spans="1:24">
      <c r="A17" s="8" t="s">
        <v>973</v>
      </c>
      <c r="B17">
        <v>116</v>
      </c>
      <c r="C17">
        <f>属性计算面板!B3</f>
        <v>45792</v>
      </c>
      <c r="D17" s="12">
        <v>0.854166667</v>
      </c>
      <c r="E17" s="10">
        <v>1</v>
      </c>
      <c r="F17" s="14"/>
      <c r="G17" s="14">
        <v>0.6</v>
      </c>
      <c r="H17" s="11">
        <v>0.2</v>
      </c>
      <c r="I17" s="16">
        <f>属性计算面板!B6</f>
        <v>0.472</v>
      </c>
      <c r="J17" s="16">
        <f>27550*(1-60%-额外增益统计!L74)/(27550/2+51164.55)</f>
        <v>0.169696279078004</v>
      </c>
      <c r="K17" s="16">
        <f>属性计算面板!B7</f>
        <v>0.3473</v>
      </c>
      <c r="L17" s="16">
        <v>0.2</v>
      </c>
      <c r="M17" s="16">
        <f>属性计算面板!B4</f>
        <v>0.4994</v>
      </c>
      <c r="N17" s="16"/>
      <c r="O17" s="16">
        <f>属性计算面板!B5</f>
        <v>2.0895</v>
      </c>
      <c r="P17" s="16"/>
      <c r="Q17">
        <f t="shared" si="4"/>
        <v>99224</v>
      </c>
      <c r="R17">
        <f>INT((B17+(C17+属性计算面板!B2*50%)*D17)*E17*(1+F17+G17)*(1+H17)*(1+I17)*(1-J17)*(1+K17)*(1-L17))</f>
        <v>136384</v>
      </c>
      <c r="S17" t="e">
        <f>INT((B17+(C17+属性计算面板!B2*50%)*D17)*E17*(1+F17+G17)*(1+H17)*(1+I17+8.1%*按提示输入属性!D62+10.59%*按提示输入属性!#REF!)*(1-J17)*(1+K17)*(1-L17))</f>
        <v>#VALUE!</v>
      </c>
      <c r="T17">
        <f t="shared" si="0"/>
        <v>207328</v>
      </c>
      <c r="U17">
        <f t="shared" si="1"/>
        <v>319070</v>
      </c>
      <c r="V17" t="e">
        <f t="shared" si="2"/>
        <v>#VALUE!</v>
      </c>
      <c r="W17">
        <f>INT((B17+(C17+属性计算面板!B2*25%)*D17)*E17*(1+F17+G17)*(1+H17)*(1+I17)*(1-J17)*(1+K17)*(1-L17))</f>
        <v>117804</v>
      </c>
      <c r="X17">
        <f t="shared" si="3"/>
        <v>275602</v>
      </c>
    </row>
    <row r="18" ht="14.25" spans="1:24">
      <c r="A18" s="8" t="s">
        <v>974</v>
      </c>
      <c r="B18">
        <v>116</v>
      </c>
      <c r="C18">
        <f>属性计算面板!B3</f>
        <v>45792</v>
      </c>
      <c r="D18" s="12">
        <v>0.854166667</v>
      </c>
      <c r="E18" s="10">
        <v>1</v>
      </c>
      <c r="F18" s="14"/>
      <c r="G18" s="14">
        <v>0.85</v>
      </c>
      <c r="H18" s="11">
        <v>0.2</v>
      </c>
      <c r="I18" s="16">
        <f>属性计算面板!B6</f>
        <v>0.472</v>
      </c>
      <c r="J18" s="16">
        <f>27550*(1-60%-额外增益统计!L74)/(27550/2+51164.55)</f>
        <v>0.169696279078004</v>
      </c>
      <c r="K18" s="16">
        <f>属性计算面板!B7</f>
        <v>0.3473</v>
      </c>
      <c r="L18" s="16">
        <v>0.2</v>
      </c>
      <c r="M18" s="16">
        <f>属性计算面板!B4</f>
        <v>0.4994</v>
      </c>
      <c r="N18" s="16"/>
      <c r="O18" s="16">
        <f>属性计算面板!B5</f>
        <v>2.0895</v>
      </c>
      <c r="P18" s="16"/>
      <c r="Q18">
        <f t="shared" si="4"/>
        <v>114728</v>
      </c>
      <c r="R18">
        <f>INT((B18+(C18+属性计算面板!B2*50%)*D18)*E18*(1+F18+G18)*(1+H18)*(1+I18)*(1-J18)*(1+K18)*(1-L18))</f>
        <v>157694</v>
      </c>
      <c r="S18" t="e">
        <f>INT((B18+(C18+属性计算面板!B2*50%)*D18)*E18*(1+F18+G18)*(1+H18)*(1+I18+8.1%*按提示输入属性!D62+10.59%*按提示输入属性!#REF!)*(1-J18)*(1+K18)*(1-L18))</f>
        <v>#VALUE!</v>
      </c>
      <c r="T18">
        <f t="shared" si="0"/>
        <v>239724</v>
      </c>
      <c r="U18">
        <f t="shared" si="1"/>
        <v>368925</v>
      </c>
      <c r="V18" t="e">
        <f t="shared" si="2"/>
        <v>#VALUE!</v>
      </c>
      <c r="W18">
        <f>INT((B18+(C18+属性计算面板!B2*25%)*D18)*E18*(1+F18+G18)*(1+H18)*(1+I18)*(1-J18)*(1+K18)*(1-L18))</f>
        <v>136211</v>
      </c>
      <c r="X18">
        <f t="shared" si="3"/>
        <v>318665</v>
      </c>
    </row>
    <row r="19" ht="14.25" spans="1:24">
      <c r="A19" s="8" t="s">
        <v>975</v>
      </c>
      <c r="B19">
        <v>116</v>
      </c>
      <c r="C19">
        <f>属性计算面板!B3</f>
        <v>45792</v>
      </c>
      <c r="D19" s="12">
        <v>0.854166667</v>
      </c>
      <c r="E19" s="10">
        <v>1</v>
      </c>
      <c r="F19" s="14"/>
      <c r="G19" s="14">
        <v>1.1</v>
      </c>
      <c r="H19" s="11">
        <v>0.2</v>
      </c>
      <c r="I19" s="16">
        <f>属性计算面板!B6</f>
        <v>0.472</v>
      </c>
      <c r="J19" s="16">
        <f>27550*(1-60%-额外增益统计!L74)/(27550/2+51164.55)</f>
        <v>0.169696279078004</v>
      </c>
      <c r="K19" s="16">
        <f>属性计算面板!B7</f>
        <v>0.3473</v>
      </c>
      <c r="L19" s="16">
        <v>0.2</v>
      </c>
      <c r="M19" s="16">
        <f>属性计算面板!B4</f>
        <v>0.4994</v>
      </c>
      <c r="N19" s="16"/>
      <c r="O19" s="16">
        <f>属性计算面板!B5</f>
        <v>2.0895</v>
      </c>
      <c r="P19" s="16"/>
      <c r="Q19">
        <f t="shared" si="4"/>
        <v>130232</v>
      </c>
      <c r="R19">
        <f>INT((B19+(C19+属性计算面板!B2*50%)*D19)*E19*(1+F19+G19)*(1+H19)*(1+I19)*(1-J19)*(1+K19)*(1-L19))</f>
        <v>179004</v>
      </c>
      <c r="S19" t="e">
        <f>INT((B19+(C19+属性计算面板!B2*50%)*D19)*E19*(1+F19+G19)*(1+H19)*(1+I19+8.1%*按提示输入属性!D62+10.59%*按提示输入属性!#REF!)*(1-J19)*(1+K19)*(1-L19))</f>
        <v>#VALUE!</v>
      </c>
      <c r="T19">
        <f t="shared" si="0"/>
        <v>272119</v>
      </c>
      <c r="U19">
        <f t="shared" si="1"/>
        <v>418779</v>
      </c>
      <c r="V19" t="e">
        <f t="shared" si="2"/>
        <v>#VALUE!</v>
      </c>
      <c r="W19">
        <f>INT((B19+(C19+属性计算面板!B2*25%)*D19)*E19*(1+F19+G19)*(1+H19)*(1+I19)*(1-J19)*(1+K19)*(1-L19))</f>
        <v>154618</v>
      </c>
      <c r="X19">
        <f t="shared" si="3"/>
        <v>361728</v>
      </c>
    </row>
    <row r="20" ht="14.25" spans="1:24">
      <c r="A20" s="8" t="s">
        <v>976</v>
      </c>
      <c r="B20">
        <v>0</v>
      </c>
      <c r="C20">
        <f>属性计算面板!B8</f>
        <v>21804</v>
      </c>
      <c r="D20" s="9">
        <v>5.5406</v>
      </c>
      <c r="E20" s="10">
        <v>1</v>
      </c>
      <c r="F20" s="11"/>
      <c r="G20" s="11"/>
      <c r="H20" s="11">
        <v>0.2</v>
      </c>
      <c r="I20" s="16">
        <f>属性计算面板!B6</f>
        <v>0.472</v>
      </c>
      <c r="J20" s="16">
        <f>27550*(1-60%-额外增益统计!L74)/(27550/2+51164.55)</f>
        <v>0.169696279078004</v>
      </c>
      <c r="K20" s="16">
        <f>属性计算面板!B7</f>
        <v>0.3473</v>
      </c>
      <c r="L20" s="16">
        <v>0.2</v>
      </c>
      <c r="M20" s="16">
        <f>属性计算面板!B4</f>
        <v>0.4994</v>
      </c>
      <c r="N20" s="16">
        <v>0</v>
      </c>
      <c r="O20" s="16">
        <f>属性计算面板!B5</f>
        <v>2.0895</v>
      </c>
      <c r="P20" s="16"/>
      <c r="Q20">
        <f t="shared" si="4"/>
        <v>190973</v>
      </c>
      <c r="R20">
        <f t="shared" ref="R20:R22" si="5">INT((B20+(C20)*D20)*E20*(1+F20+G20)*(1+H20)*(1+I20)*(1-J20)*(1+K20)*(1-L20))</f>
        <v>190973</v>
      </c>
      <c r="S20" t="e">
        <f>INT((B20+(C20+属性计算面板!B2*50%)*D20)*E20*(1+F20+G20)*(1+H20)*(1+I20+8.1%*按提示输入属性!D62+10.59%*按提示输入属性!#REF!)*(1-J20)*(1+K20)*(1-L20))</f>
        <v>#VALUE!</v>
      </c>
      <c r="T20">
        <f t="shared" si="0"/>
        <v>399038</v>
      </c>
      <c r="U20">
        <f t="shared" si="1"/>
        <v>446781</v>
      </c>
      <c r="V20" t="e">
        <f t="shared" si="2"/>
        <v>#VALUE!</v>
      </c>
      <c r="W20">
        <f>INT((B20+(C20+属性计算面板!B2*25%)*D20)*E20*(1+F20+G20)*(1+H20)*(1+I20)*(1-J20)*(1+K20)*(1-L20))</f>
        <v>266297</v>
      </c>
      <c r="X20">
        <f t="shared" si="3"/>
        <v>623001</v>
      </c>
    </row>
    <row r="21" ht="14.25" spans="1:24">
      <c r="A21" s="8" t="s">
        <v>977</v>
      </c>
      <c r="B21">
        <v>0</v>
      </c>
      <c r="C21">
        <f>属性计算面板!B8</f>
        <v>21804</v>
      </c>
      <c r="D21" s="9">
        <v>3.9576</v>
      </c>
      <c r="E21" s="10">
        <v>1</v>
      </c>
      <c r="F21" s="11"/>
      <c r="G21" s="11"/>
      <c r="H21" s="11">
        <v>0.2</v>
      </c>
      <c r="I21" s="16">
        <f>属性计算面板!B6</f>
        <v>0.472</v>
      </c>
      <c r="J21" s="16">
        <f>27550*(1-60%-额外增益统计!L74)/(27550/2+51164.55)</f>
        <v>0.169696279078004</v>
      </c>
      <c r="K21" s="16">
        <f>属性计算面板!B7</f>
        <v>0.3473</v>
      </c>
      <c r="L21" s="16">
        <v>0.2</v>
      </c>
      <c r="M21" s="16">
        <f>属性计算面板!B4</f>
        <v>0.4994</v>
      </c>
      <c r="N21" s="16">
        <v>0</v>
      </c>
      <c r="O21" s="16">
        <f>属性计算面板!B5</f>
        <v>2.0895</v>
      </c>
      <c r="P21" s="16"/>
      <c r="Q21">
        <f t="shared" si="4"/>
        <v>136410</v>
      </c>
      <c r="R21">
        <f t="shared" si="5"/>
        <v>136410</v>
      </c>
      <c r="S21" t="e">
        <f>INT((B21+(C21+属性计算面板!B3*50%)*D21)*E21*(1+F21+G21)*(1+H21)*(1+I21+8.1%*按提示输入属性!D62+10.59%*按提示输入属性!#REF!)*(1-J21)*(1+K21)*(1-L21))</f>
        <v>#VALUE!</v>
      </c>
      <c r="T21">
        <f t="shared" si="0"/>
        <v>285028</v>
      </c>
      <c r="U21">
        <f t="shared" si="1"/>
        <v>319131</v>
      </c>
      <c r="V21" t="e">
        <f t="shared" si="2"/>
        <v>#VALUE!</v>
      </c>
      <c r="W21">
        <f>INT((B21+(C21+属性计算面板!B2*25%)*D21)*E21*(1+F21+G21)*(1+H21)*(1+I21)*(1-J21)*(1+K21)*(1-L21))</f>
        <v>190214</v>
      </c>
      <c r="X21">
        <f t="shared" si="3"/>
        <v>445005</v>
      </c>
    </row>
    <row r="22" ht="14.25" spans="1:24">
      <c r="A22" s="8" t="s">
        <v>978</v>
      </c>
      <c r="B22">
        <v>0</v>
      </c>
      <c r="C22">
        <f>属性计算面板!B8</f>
        <v>21804</v>
      </c>
      <c r="D22" s="9">
        <v>5.5406</v>
      </c>
      <c r="E22" s="10">
        <v>1</v>
      </c>
      <c r="F22" s="14"/>
      <c r="G22" s="14"/>
      <c r="H22" s="11">
        <v>0.2</v>
      </c>
      <c r="I22" s="16">
        <f>属性计算面板!B6</f>
        <v>0.472</v>
      </c>
      <c r="J22" s="16">
        <f>27550*(1-60%-额外增益统计!L74)/(27550/2+51164.55)</f>
        <v>0.169696279078004</v>
      </c>
      <c r="K22" s="16">
        <f>属性计算面板!B7</f>
        <v>0.3473</v>
      </c>
      <c r="L22" s="16">
        <v>0.2</v>
      </c>
      <c r="M22" s="16">
        <f>属性计算面板!B4</f>
        <v>0.4994</v>
      </c>
      <c r="N22" s="16">
        <v>0</v>
      </c>
      <c r="O22" s="16">
        <f>属性计算面板!B5</f>
        <v>2.0895</v>
      </c>
      <c r="P22" s="16"/>
      <c r="Q22">
        <f t="shared" si="4"/>
        <v>190973</v>
      </c>
      <c r="R22">
        <f t="shared" si="5"/>
        <v>190973</v>
      </c>
      <c r="S22" t="e">
        <f>INT((B22+(C22+属性计算面板!B4*50%)*D22)*E22*(1+F22+G22)*(1+H22)*(1+I22+8.1%*按提示输入属性!D62+10.59%*按提示输入属性!#REF!)*(1-J22)*(1+K22)*(1-L22))</f>
        <v>#VALUE!</v>
      </c>
      <c r="T22">
        <f t="shared" si="0"/>
        <v>399038</v>
      </c>
      <c r="U22">
        <f t="shared" si="1"/>
        <v>446781</v>
      </c>
      <c r="V22" t="e">
        <f t="shared" si="2"/>
        <v>#VALUE!</v>
      </c>
      <c r="W22">
        <f>INT((B22+(C22+属性计算面板!B2*25%)*D22)*E22*(1+F22+G22)*(1+H22)*(1+I22)*(1-J22)*(1+K22)*(1-L22))</f>
        <v>266297</v>
      </c>
      <c r="X22">
        <f t="shared" si="3"/>
        <v>623001</v>
      </c>
    </row>
    <row r="23" ht="14.25" spans="1:24">
      <c r="A23" s="8" t="s">
        <v>979</v>
      </c>
      <c r="B23">
        <v>78</v>
      </c>
      <c r="C23">
        <f>属性计算面板!B3</f>
        <v>45792</v>
      </c>
      <c r="D23" s="12">
        <v>0.08</v>
      </c>
      <c r="E23" s="10">
        <v>1</v>
      </c>
      <c r="F23" s="14"/>
      <c r="G23" s="14"/>
      <c r="H23" s="11">
        <v>0.2</v>
      </c>
      <c r="I23" s="16">
        <f>属性计算面板!B6</f>
        <v>0.472</v>
      </c>
      <c r="J23" s="16">
        <f>27550*(1-60%-额外增益统计!L74)/(27550/2+51164.55)</f>
        <v>0.169696279078004</v>
      </c>
      <c r="K23" s="16">
        <f>属性计算面板!B7</f>
        <v>0.3473</v>
      </c>
      <c r="L23" s="16">
        <v>0.2</v>
      </c>
      <c r="M23" s="16">
        <f>属性计算面板!B4</f>
        <v>0.4994</v>
      </c>
      <c r="N23" s="16"/>
      <c r="O23" s="16">
        <f>属性计算面板!B5</f>
        <v>2.0895</v>
      </c>
      <c r="P23" s="16"/>
      <c r="Q23">
        <f t="shared" si="4"/>
        <v>5914</v>
      </c>
      <c r="R23">
        <f>INT((B23+(C23+属性计算面板!B2*50%)*D23)*E23*(1+F23+G23)*(1+H23)*(1+I23)*(1-J23)*(1+K23)*(1-L23))</f>
        <v>8089</v>
      </c>
      <c r="S23" t="e">
        <f>INT((B23+(C23+属性计算面板!B2*50%)*D23)*E23*(1+F23+G23)*(1+H23)*(1+I23+8.1%*按提示输入属性!D62+10.59%*按提示输入属性!#REF!)*(1-J23)*(1+K23)*(1-L23))</f>
        <v>#VALUE!</v>
      </c>
      <c r="T23">
        <f t="shared" si="0"/>
        <v>12357</v>
      </c>
      <c r="U23">
        <f t="shared" si="1"/>
        <v>18924</v>
      </c>
      <c r="V23" t="e">
        <f t="shared" si="2"/>
        <v>#VALUE!</v>
      </c>
      <c r="W23">
        <f>INT((B23+(C23+属性计算面板!B2*25%)*D23)*E23*(1+F23+G23)*(1+H23)*(1+I23)*(1-J23)*(1+K23)*(1-L23))</f>
        <v>7001</v>
      </c>
      <c r="X23">
        <f t="shared" si="3"/>
        <v>16378</v>
      </c>
    </row>
    <row r="24" ht="14.25" spans="1:24">
      <c r="A24" s="8" t="s">
        <v>364</v>
      </c>
      <c r="B24">
        <v>33</v>
      </c>
      <c r="C24">
        <f>属性计算面板!B3</f>
        <v>45792</v>
      </c>
      <c r="D24" s="12">
        <v>1.625</v>
      </c>
      <c r="E24" s="10">
        <v>1</v>
      </c>
      <c r="F24" s="14"/>
      <c r="G24" s="14"/>
      <c r="H24" s="11">
        <v>0.2</v>
      </c>
      <c r="I24" s="16">
        <f>属性计算面板!B6</f>
        <v>0.472</v>
      </c>
      <c r="J24" s="16">
        <f>27550*(1-60%-额外增益统计!L74)/(27550/2+51164.55)</f>
        <v>0.169696279078004</v>
      </c>
      <c r="K24" s="16">
        <f>属性计算面板!B7</f>
        <v>0.3473</v>
      </c>
      <c r="L24" s="16">
        <v>0.2</v>
      </c>
      <c r="M24" s="16">
        <f>属性计算面板!B4</f>
        <v>0.4994</v>
      </c>
      <c r="N24" s="16"/>
      <c r="O24" s="16">
        <f>属性计算面板!B5</f>
        <v>2.0895</v>
      </c>
      <c r="P24" s="16"/>
      <c r="Q24">
        <f t="shared" si="4"/>
        <v>117683</v>
      </c>
      <c r="R24">
        <f>INT((B24+(C24+属性计算面板!B2*50%)*D24)*E24*(1+F24+G24)*(1+H24)*(1+I24)*(1-J24)*(1+K24)*(1-L24))</f>
        <v>161867</v>
      </c>
      <c r="S24" t="e">
        <f>INT((B24+(C24+属性计算面板!B2*50%)*D24)*E24*(1+F24+G24)*(1+H24)*(1+I24+8.1%*按提示输入属性!D62+10.59%*按提示输入属性!#REF!)*(1-J24)*(1+K24)*(1-L24))</f>
        <v>#VALUE!</v>
      </c>
      <c r="T24">
        <f t="shared" si="0"/>
        <v>245898</v>
      </c>
      <c r="U24">
        <f t="shared" si="1"/>
        <v>378687</v>
      </c>
      <c r="V24" t="e">
        <f t="shared" si="2"/>
        <v>#VALUE!</v>
      </c>
      <c r="W24">
        <f>INT((B24+(C24+属性计算面板!B2*25%)*D24)*E24*(1+F24+G24)*(1+H24)*(1+I24)*(1-J24)*(1+K24)*(1-L24))</f>
        <v>139775</v>
      </c>
      <c r="X24">
        <f t="shared" si="3"/>
        <v>327003</v>
      </c>
    </row>
    <row r="25" ht="14.25" spans="1:24">
      <c r="A25" s="8" t="s">
        <v>980</v>
      </c>
      <c r="B25">
        <v>0</v>
      </c>
      <c r="C25">
        <f>属性计算面板!B3</f>
        <v>45792</v>
      </c>
      <c r="D25">
        <v>0.26041</v>
      </c>
      <c r="E25" s="10">
        <v>1</v>
      </c>
      <c r="F25" s="16"/>
      <c r="G25" s="16"/>
      <c r="H25" s="11">
        <v>0.2</v>
      </c>
      <c r="I25" s="16">
        <f>属性计算面板!B6</f>
        <v>0.472</v>
      </c>
      <c r="J25" s="16">
        <f>27550*(1-60%-额外增益统计!L74)/(27550/2+51164.55)</f>
        <v>0.169696279078004</v>
      </c>
      <c r="K25" s="16">
        <f>属性计算面板!B7</f>
        <v>0.3473</v>
      </c>
      <c r="L25" s="16">
        <v>0.2</v>
      </c>
      <c r="M25" s="16">
        <f>属性计算面板!B4</f>
        <v>0.4994</v>
      </c>
      <c r="N25" s="16"/>
      <c r="O25" s="16">
        <f>属性计算面板!B5</f>
        <v>2.0895</v>
      </c>
      <c r="P25" s="16"/>
      <c r="Q25">
        <f t="shared" si="4"/>
        <v>18850</v>
      </c>
      <c r="R25">
        <f>INT((B25+(C25+属性计算面板!B2*50%)*D25)*E25*(1+F25+G25)*(1+H25)*(1+I25)*(1-J25)*(1+K25)*(1-L25))</f>
        <v>25931</v>
      </c>
      <c r="S25" t="e">
        <f>INT((B25+(C25+属性计算面板!B2*50%)*D25)*E25*(1+F25+G25)*(1+H25)*(1+I25+8.1%*按提示输入属性!D62+10.59%*按提示输入属性!#REF!)*(1-J25)*(1+K25)*(1-L25))</f>
        <v>#VALUE!</v>
      </c>
      <c r="T25">
        <f t="shared" si="0"/>
        <v>39387</v>
      </c>
      <c r="U25">
        <f t="shared" si="1"/>
        <v>60665</v>
      </c>
      <c r="V25" t="e">
        <f t="shared" si="2"/>
        <v>#VALUE!</v>
      </c>
      <c r="W25">
        <f>INT((B25+(C25+属性计算面板!B2*25%)*D25)*E25*(1+F25+G25)*(1+H25)*(1+I25)*(1-J25)*(1+K25)*(1-L25))</f>
        <v>22390</v>
      </c>
      <c r="X25">
        <f t="shared" si="3"/>
        <v>52381</v>
      </c>
    </row>
    <row r="26" ht="14.25" spans="1:24">
      <c r="A26" s="8" t="s">
        <v>981</v>
      </c>
      <c r="B26">
        <v>0</v>
      </c>
      <c r="C26">
        <f>属性计算面板!B3</f>
        <v>45792</v>
      </c>
      <c r="D26">
        <v>0.46875</v>
      </c>
      <c r="E26" s="10">
        <v>1</v>
      </c>
      <c r="F26" s="16"/>
      <c r="G26" s="16"/>
      <c r="H26" s="11">
        <v>0.2</v>
      </c>
      <c r="I26" s="16">
        <f>属性计算面板!B6</f>
        <v>0.472</v>
      </c>
      <c r="J26" s="16">
        <f>27550*(1-60%-额外增益统计!L74)/(27550/2+51164.55)</f>
        <v>0.169696279078004</v>
      </c>
      <c r="K26" s="16">
        <f>属性计算面板!B7</f>
        <v>0.3473</v>
      </c>
      <c r="L26" s="16">
        <v>0.2</v>
      </c>
      <c r="M26" s="16">
        <f>属性计算面板!B4</f>
        <v>0.4994</v>
      </c>
      <c r="N26" s="16"/>
      <c r="O26" s="16">
        <f>属性计算面板!B5</f>
        <v>2.0895</v>
      </c>
      <c r="P26" s="16"/>
      <c r="Q26">
        <f t="shared" si="4"/>
        <v>33932</v>
      </c>
      <c r="R26">
        <f>INT((B26+(C26+属性计算面板!B2*50%)*D26)*E26*(1+F26+G26)*(1+H26)*(1+I26)*(1-J26)*(1+K26)*(1-L26))</f>
        <v>46677</v>
      </c>
      <c r="S26" t="e">
        <f>INT((B26+(C26+属性计算面板!B2*50%)*D26)*E26*(1+F26+G26)*(1+H26)*(1+I26+8.1%*按提示输入属性!D62+10.59%*按提示输入属性!#REF!)*(1-J26)*(1+K26)*(1-L26))</f>
        <v>#VALUE!</v>
      </c>
      <c r="T26">
        <f t="shared" si="0"/>
        <v>70900</v>
      </c>
      <c r="U26">
        <f t="shared" si="1"/>
        <v>109200</v>
      </c>
      <c r="V26" t="e">
        <f t="shared" si="2"/>
        <v>#VALUE!</v>
      </c>
      <c r="W26">
        <f>INT((B26+(C26+属性计算面板!B2*25%)*D26)*E26*(1+F26+G26)*(1+H26)*(1+I26)*(1-J26)*(1+K26)*(1-L26))</f>
        <v>40304</v>
      </c>
      <c r="X26">
        <f t="shared" si="3"/>
        <v>94291</v>
      </c>
    </row>
    <row r="27" ht="14.25" spans="1:24">
      <c r="A27" t="s">
        <v>72</v>
      </c>
      <c r="B27">
        <v>550865</v>
      </c>
      <c r="C27">
        <v>0</v>
      </c>
      <c r="D27">
        <v>1</v>
      </c>
      <c r="E27" s="10">
        <v>1</v>
      </c>
      <c r="H27" s="11">
        <v>0.2</v>
      </c>
      <c r="I27" s="16">
        <f>属性计算面板!B6</f>
        <v>0.472</v>
      </c>
      <c r="J27">
        <f>27550*(1-60%-额外增益统计!L74)/(27550/2+51164.55)</f>
        <v>0.169696279078004</v>
      </c>
      <c r="K27">
        <f>属性计算面板!B7</f>
        <v>0.3473</v>
      </c>
      <c r="L27" s="16">
        <v>0.2</v>
      </c>
      <c r="M27" s="16">
        <f>属性计算面板!B4</f>
        <v>0.4994</v>
      </c>
      <c r="N27" s="16"/>
      <c r="O27">
        <f>属性计算面板!B5</f>
        <v>2.0895</v>
      </c>
      <c r="Q27">
        <f t="shared" si="4"/>
        <v>870814</v>
      </c>
      <c r="R27">
        <f>INT((B27+(C27+属性计算面板!B3*50%)*D27)*E27*(1+F27+G27)*(1+H27)*(1+I27)*(1-J27)*(1+K27)*(1-L27))</f>
        <v>907008</v>
      </c>
      <c r="S27" t="e">
        <f>INT((B27+(C27+属性计算面板!B3*50%)*D27)*E27*(1+F27+G27)*(1+H27)*(1+I27+8.1%*按提示输入属性!D62+10.59%*按提示输入属性!#REF!)*(1-J27)*(1+K27)*(1-L27))</f>
        <v>#VALUE!</v>
      </c>
      <c r="T27">
        <f t="shared" si="0"/>
        <v>1819565</v>
      </c>
      <c r="U27">
        <f t="shared" si="1"/>
        <v>2121945</v>
      </c>
      <c r="V27" t="e">
        <f t="shared" si="2"/>
        <v>#VALUE!</v>
      </c>
      <c r="W27">
        <f>INT((B27+(C27+属性计算面板!B2*25%)*D27)*E27*(1+F27+G27)*(1+H27)*(1+I27)*(1-J27)*(1+K27)*(1-L27))</f>
        <v>884409</v>
      </c>
      <c r="X27">
        <f t="shared" si="3"/>
        <v>2069074</v>
      </c>
    </row>
    <row r="28" ht="14.25" spans="1:24">
      <c r="A28" t="s">
        <v>70</v>
      </c>
      <c r="B28">
        <v>568199</v>
      </c>
      <c r="C28">
        <v>0</v>
      </c>
      <c r="D28">
        <v>1</v>
      </c>
      <c r="E28" s="10">
        <v>1</v>
      </c>
      <c r="H28" s="11">
        <v>0.2</v>
      </c>
      <c r="I28" s="16">
        <f>属性计算面板!B6</f>
        <v>0.472</v>
      </c>
      <c r="J28">
        <f>27550*(1-60%-额外增益统计!L74)/(27550/2+51164.55)</f>
        <v>0.169696279078004</v>
      </c>
      <c r="K28">
        <f>属性计算面板!B7</f>
        <v>0.3473</v>
      </c>
      <c r="L28" s="16">
        <v>0.2</v>
      </c>
      <c r="M28" s="16">
        <f>属性计算面板!B4</f>
        <v>0.4994</v>
      </c>
      <c r="N28" s="16"/>
      <c r="O28">
        <f>属性计算面板!B5</f>
        <v>2.0895</v>
      </c>
      <c r="Q28">
        <f t="shared" si="4"/>
        <v>898216</v>
      </c>
      <c r="R28">
        <f>INT((B28+(C28+属性计算面板!B4*50%)*D28)*E28*(1+F28+G28)*(1+H28)*(1+I28)*(1-J28)*(1+K28)*(1-L28))</f>
        <v>898216</v>
      </c>
      <c r="S28" t="e">
        <f>INT((B28+(C28+属性计算面板!B4*50%)*D28)*E28*(1+F28+G28)*(1+H28)*(1+I28+8.1%*按提示输入属性!D62+10.59%*按提示输入属性!#REF!)*(1-J28)*(1+K28)*(1-L28))</f>
        <v>#VALUE!</v>
      </c>
      <c r="T28">
        <f t="shared" si="0"/>
        <v>1876822</v>
      </c>
      <c r="U28">
        <f t="shared" si="1"/>
        <v>2101376</v>
      </c>
      <c r="V28" t="e">
        <f t="shared" si="2"/>
        <v>#VALUE!</v>
      </c>
      <c r="W28">
        <f>INT((B28+(C28+属性计算面板!B2*25%)*D28)*E28*(1+F28+G28)*(1+H28)*(1+I28)*(1-J28)*(1+K28)*(1-L28))</f>
        <v>911811</v>
      </c>
      <c r="X28">
        <f t="shared" si="3"/>
        <v>2133181</v>
      </c>
    </row>
    <row r="29" ht="14.25" spans="1:24">
      <c r="A29" t="s">
        <v>982</v>
      </c>
      <c r="B29">
        <v>141299</v>
      </c>
      <c r="C29">
        <v>0</v>
      </c>
      <c r="D29">
        <v>1</v>
      </c>
      <c r="E29">
        <v>1</v>
      </c>
      <c r="H29" s="11">
        <v>0.2</v>
      </c>
      <c r="I29" s="16">
        <f>属性计算面板!B6</f>
        <v>0.472</v>
      </c>
      <c r="J29">
        <f>27550*(1-60%-额外增益统计!L74)/(27550/2+51164.55)</f>
        <v>0.169696279078004</v>
      </c>
      <c r="K29">
        <f>属性计算面板!B7</f>
        <v>0.3473</v>
      </c>
      <c r="L29" s="16">
        <v>0.2</v>
      </c>
      <c r="M29" s="16">
        <f>属性计算面板!B4</f>
        <v>0.4994</v>
      </c>
      <c r="N29" s="16"/>
      <c r="O29">
        <f>属性计算面板!B5</f>
        <v>2.0895</v>
      </c>
      <c r="Q29">
        <f t="shared" si="4"/>
        <v>223367</v>
      </c>
      <c r="R29">
        <f>INT((B29+(C29+属性计算面板!B5*50%)*D29)*E29*(1+F29+G29)*(1+H29)*(1+I29)*(1-J29)*(1+K29)*(1-L29))</f>
        <v>223368</v>
      </c>
      <c r="S29" t="e">
        <f>INT((B29+(C29+属性计算面板!B5*50%)*D29)*E29*(1+F29+G29)*(1+H29)*(1+I29+8.1%*按提示输入属性!D62+10.59%*按提示输入属性!#REF!)*(1-J29)*(1+K29)*(1-L29))</f>
        <v>#VALUE!</v>
      </c>
      <c r="T29">
        <f t="shared" si="0"/>
        <v>466725</v>
      </c>
      <c r="U29">
        <f t="shared" si="1"/>
        <v>522569</v>
      </c>
      <c r="V29" t="e">
        <f t="shared" si="2"/>
        <v>#VALUE!</v>
      </c>
      <c r="W29">
        <f>INT((B29+(C29+属性计算面板!B2*25%)*D29)*E29*(1+F29+G29)*(1+H29)*(1+I29)*(1-J29)*(1+K29)*(1-L29))</f>
        <v>236962</v>
      </c>
      <c r="X29">
        <f t="shared" si="3"/>
        <v>554372</v>
      </c>
    </row>
    <row r="34" spans="1:16">
      <c r="A34" s="17" t="s">
        <v>1041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7">
      <c r="A35" t="s">
        <v>1042</v>
      </c>
      <c r="B35" s="8" t="s">
        <v>960</v>
      </c>
      <c r="C35" s="8" t="s">
        <v>961</v>
      </c>
      <c r="D35" s="8" t="s">
        <v>962</v>
      </c>
      <c r="E35" s="8" t="s">
        <v>963</v>
      </c>
      <c r="F35" s="8" t="s">
        <v>964</v>
      </c>
      <c r="G35" s="8" t="s">
        <v>971</v>
      </c>
      <c r="H35" s="8" t="s">
        <v>972</v>
      </c>
      <c r="I35" s="8" t="s">
        <v>973</v>
      </c>
      <c r="J35" s="8" t="s">
        <v>974</v>
      </c>
      <c r="K35" s="8" t="s">
        <v>975</v>
      </c>
      <c r="L35" s="8" t="s">
        <v>1043</v>
      </c>
      <c r="M35" s="8" t="s">
        <v>976</v>
      </c>
      <c r="N35" s="8" t="s">
        <v>385</v>
      </c>
      <c r="O35" s="8" t="s">
        <v>1044</v>
      </c>
      <c r="P35" s="8" t="s">
        <v>1045</v>
      </c>
      <c r="Q35" s="8" t="s">
        <v>977</v>
      </c>
    </row>
    <row r="36" spans="1:15">
      <c r="A36" t="s">
        <v>997</v>
      </c>
      <c r="B36">
        <v>4</v>
      </c>
      <c r="C36">
        <v>4</v>
      </c>
      <c r="D36">
        <v>4</v>
      </c>
      <c r="E36">
        <v>4</v>
      </c>
      <c r="F36">
        <v>4</v>
      </c>
      <c r="G36">
        <v>0</v>
      </c>
      <c r="H36">
        <v>1</v>
      </c>
      <c r="I36">
        <v>1</v>
      </c>
      <c r="J36">
        <v>1</v>
      </c>
      <c r="K36">
        <v>1</v>
      </c>
      <c r="L36">
        <v>7</v>
      </c>
      <c r="M36">
        <v>7</v>
      </c>
      <c r="N36">
        <v>0</v>
      </c>
      <c r="O36">
        <v>0</v>
      </c>
    </row>
    <row r="37" spans="1:16">
      <c r="A37" s="17" t="s">
        <v>1046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22">
      <c r="A38" t="s">
        <v>1042</v>
      </c>
      <c r="B38" s="18" t="s">
        <v>960</v>
      </c>
      <c r="C38" s="18" t="s">
        <v>961</v>
      </c>
      <c r="D38" s="18" t="s">
        <v>962</v>
      </c>
      <c r="E38" s="18" t="s">
        <v>963</v>
      </c>
      <c r="F38" s="18" t="s">
        <v>964</v>
      </c>
      <c r="G38" s="18" t="s">
        <v>971</v>
      </c>
      <c r="H38" s="18" t="s">
        <v>972</v>
      </c>
      <c r="I38" s="18" t="s">
        <v>973</v>
      </c>
      <c r="J38" s="18" t="s">
        <v>974</v>
      </c>
      <c r="K38" s="18" t="s">
        <v>975</v>
      </c>
      <c r="L38" s="18" t="s">
        <v>1043</v>
      </c>
      <c r="M38" s="18" t="s">
        <v>976</v>
      </c>
      <c r="N38" s="18" t="s">
        <v>385</v>
      </c>
      <c r="O38" s="18" t="s">
        <v>1047</v>
      </c>
      <c r="P38" s="18" t="s">
        <v>364</v>
      </c>
      <c r="Q38" s="18" t="s">
        <v>981</v>
      </c>
      <c r="R38" s="18" t="s">
        <v>980</v>
      </c>
      <c r="S38" s="18" t="s">
        <v>1044</v>
      </c>
      <c r="T38" s="18" t="s">
        <v>1045</v>
      </c>
      <c r="U38" s="18" t="s">
        <v>977</v>
      </c>
      <c r="V38" s="18" t="s">
        <v>959</v>
      </c>
    </row>
    <row r="39" spans="1:22">
      <c r="A39" t="s">
        <v>997</v>
      </c>
      <c r="B39">
        <f>气剑时间轴!B76-R43</f>
        <v>107</v>
      </c>
      <c r="C39">
        <f>气剑时间轴!B76-R43</f>
        <v>107</v>
      </c>
      <c r="D39">
        <f>气剑时间轴!B76-R43</f>
        <v>107</v>
      </c>
      <c r="E39">
        <f>气剑时间轴!B76-R43</f>
        <v>107</v>
      </c>
      <c r="F39">
        <f>气剑时间轴!B76-R43</f>
        <v>107</v>
      </c>
      <c r="G39">
        <f>INT(属性计算面板!B9/22.5)</f>
        <v>13</v>
      </c>
      <c r="H39" t="e">
        <f>INT(属性计算面板!B9/22.5)-H41-H44</f>
        <v>#VALUE!</v>
      </c>
      <c r="I39" t="e">
        <f>INT(属性计算面板!B9/22.5)-H41-H44</f>
        <v>#VALUE!</v>
      </c>
      <c r="J39" t="e">
        <f>INT(属性计算面板!B9/22.5)-H41-H44</f>
        <v>#VALUE!</v>
      </c>
      <c r="K39" t="e">
        <f>INT(属性计算面板!B9/22.5)-H41-H44</f>
        <v>#VALUE!</v>
      </c>
      <c r="L39">
        <f>D52+E52</f>
        <v>0</v>
      </c>
      <c r="M39" t="e">
        <f>F51+E52+D52</f>
        <v>#VALUE!</v>
      </c>
      <c r="N39" t="e">
        <f>H51</f>
        <v>#VALUE!</v>
      </c>
      <c r="O39">
        <f>按提示输入属性!D37</f>
        <v>0</v>
      </c>
      <c r="P39">
        <f>按提示输入属性!D37</f>
        <v>0</v>
      </c>
      <c r="Q39" t="e">
        <f>(INT(属性计算面板!B9/(10+10/((SUM(B39:P39)+SUM(B41:N41))/属性计算面板!B9)))-O41)*按提示输入属性!D59</f>
        <v>#VALUE!</v>
      </c>
      <c r="R39" t="e">
        <f>(INT(属性计算面板!B9/(10+1/M25))-P41)*按提示输入属性!D60</f>
        <v>#VALUE!</v>
      </c>
      <c r="S39" t="e">
        <f>F51</f>
        <v>#VALUE!</v>
      </c>
      <c r="T39" t="e">
        <f>G51</f>
        <v>#VALUE!</v>
      </c>
      <c r="U39" t="e">
        <f>G51</f>
        <v>#VALUE!</v>
      </c>
      <c r="V39">
        <f>属性计算面板!B12+I47+属性计算面板!B12-W43</f>
        <v>10</v>
      </c>
    </row>
    <row r="40" spans="1:24">
      <c r="A40" t="s">
        <v>1042</v>
      </c>
      <c r="B40" s="8" t="s">
        <v>960</v>
      </c>
      <c r="C40" s="8" t="s">
        <v>961</v>
      </c>
      <c r="D40" s="8" t="s">
        <v>962</v>
      </c>
      <c r="E40" s="8" t="s">
        <v>963</v>
      </c>
      <c r="F40" s="8" t="s">
        <v>964</v>
      </c>
      <c r="G40" s="8" t="s">
        <v>971</v>
      </c>
      <c r="H40" s="8" t="s">
        <v>972</v>
      </c>
      <c r="I40" s="8" t="s">
        <v>973</v>
      </c>
      <c r="J40" s="8" t="s">
        <v>974</v>
      </c>
      <c r="K40" s="8" t="s">
        <v>975</v>
      </c>
      <c r="L40" s="8" t="s">
        <v>1043</v>
      </c>
      <c r="M40" s="8" t="s">
        <v>976</v>
      </c>
      <c r="N40" s="8" t="s">
        <v>385</v>
      </c>
      <c r="O40" s="8" t="s">
        <v>981</v>
      </c>
      <c r="P40" s="8" t="s">
        <v>980</v>
      </c>
      <c r="Q40" s="8" t="s">
        <v>1044</v>
      </c>
      <c r="R40" s="8" t="s">
        <v>1045</v>
      </c>
      <c r="S40" s="8" t="s">
        <v>977</v>
      </c>
      <c r="T40" s="8" t="s">
        <v>1048</v>
      </c>
      <c r="U40" s="8" t="s">
        <v>1049</v>
      </c>
      <c r="V40" s="18" t="s">
        <v>1050</v>
      </c>
      <c r="W40" s="8" t="s">
        <v>1051</v>
      </c>
      <c r="X40" s="8" t="s">
        <v>1052</v>
      </c>
    </row>
    <row r="41" spans="1:24">
      <c r="A41" t="s">
        <v>997</v>
      </c>
      <c r="B41" t="e">
        <f>B36*(属性计算面板!B12-按提示输入属性!D62-按提示输入属性!#REF!)</f>
        <v>#VALUE!</v>
      </c>
      <c r="C41" t="e">
        <f>B36*(属性计算面板!B12-按提示输入属性!D62-按提示输入属性!#REF!)</f>
        <v>#VALUE!</v>
      </c>
      <c r="D41" t="e">
        <f>B36*(属性计算面板!B12-按提示输入属性!D62-按提示输入属性!#REF!)</f>
        <v>#VALUE!</v>
      </c>
      <c r="E41" t="e">
        <f>B36*(属性计算面板!B12-按提示输入属性!D62-按提示输入属性!#REF!)</f>
        <v>#VALUE!</v>
      </c>
      <c r="F41" t="e">
        <f>B36*(属性计算面板!B12-按提示输入属性!D62-按提示输入属性!#REF!)</f>
        <v>#VALUE!</v>
      </c>
      <c r="G41" t="e">
        <f>G36*(属性计算面板!B12-按提示输入属性!D62-按提示输入属性!#REF!)</f>
        <v>#VALUE!</v>
      </c>
      <c r="H41" t="e">
        <f>H36*(属性计算面板!B12-按提示输入属性!D62-按提示输入属性!#REF!)</f>
        <v>#VALUE!</v>
      </c>
      <c r="I41" t="e">
        <f>H36*(属性计算面板!B12-按提示输入属性!D62-按提示输入属性!#REF!)</f>
        <v>#VALUE!</v>
      </c>
      <c r="J41" t="e">
        <f>H36*(属性计算面板!B12-按提示输入属性!D62-按提示输入属性!#REF!)</f>
        <v>#VALUE!</v>
      </c>
      <c r="K41" t="e">
        <f>H36*(属性计算面板!B12-按提示输入属性!D62-按提示输入属性!#REF!)</f>
        <v>#VALUE!</v>
      </c>
      <c r="L41" t="e">
        <f>L36*(属性计算面板!B12-按提示输入属性!D62-按提示输入属性!#REF!)</f>
        <v>#VALUE!</v>
      </c>
      <c r="M41" t="e">
        <f>M36*(属性计算面板!B12-按提示输入属性!D62-按提示输入属性!#REF!)</f>
        <v>#VALUE!</v>
      </c>
      <c r="N41" t="e">
        <f>N36*(属性计算面板!B12-按提示输入属性!D62-按提示输入属性!#REF!)+P39</f>
        <v>#VALUE!</v>
      </c>
      <c r="O41" s="20" t="e">
        <f>(INT((属性计算面板!B12*9)/(10+10/((SUM(B39:P39)+SUM(B41:N41))/属性计算面板!B9))))*按提示输入属性!D59</f>
        <v>#VALUE!</v>
      </c>
      <c r="P41" s="20" t="e">
        <f>INT((属性计算面板!B12*9)/(10+1/(M25+25%)))*按提示输入属性!D60</f>
        <v>#VALUE!</v>
      </c>
      <c r="Q41" t="e">
        <f>O36*(属性计算面板!B12-按提示输入属性!D62-按提示输入属性!#REF!)</f>
        <v>#VALUE!</v>
      </c>
      <c r="T41">
        <f>P39*2</f>
        <v>0</v>
      </c>
      <c r="U41">
        <f>T41</f>
        <v>0</v>
      </c>
      <c r="V41">
        <f>V39</f>
        <v>10</v>
      </c>
      <c r="W41">
        <f>G47</f>
        <v>0</v>
      </c>
      <c r="X41">
        <f>W41</f>
        <v>0</v>
      </c>
    </row>
    <row r="42" spans="1:24">
      <c r="A42" s="19" t="s">
        <v>1053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8" t="s">
        <v>1054</v>
      </c>
      <c r="S42" s="8" t="s">
        <v>1055</v>
      </c>
      <c r="T42" s="8" t="s">
        <v>1056</v>
      </c>
      <c r="U42" s="8" t="s">
        <v>1057</v>
      </c>
      <c r="V42" s="8" t="s">
        <v>1058</v>
      </c>
      <c r="W42" s="8" t="s">
        <v>959</v>
      </c>
      <c r="X42" s="8" t="s">
        <v>1050</v>
      </c>
    </row>
    <row r="43" spans="1:24">
      <c r="A43" t="s">
        <v>1042</v>
      </c>
      <c r="B43" s="8" t="s">
        <v>960</v>
      </c>
      <c r="C43" s="8" t="s">
        <v>961</v>
      </c>
      <c r="D43" s="8" t="s">
        <v>962</v>
      </c>
      <c r="E43" s="8" t="s">
        <v>963</v>
      </c>
      <c r="F43" s="8" t="s">
        <v>964</v>
      </c>
      <c r="G43" s="8" t="s">
        <v>971</v>
      </c>
      <c r="H43" s="8" t="s">
        <v>972</v>
      </c>
      <c r="I43" s="8" t="s">
        <v>973</v>
      </c>
      <c r="J43" s="8" t="s">
        <v>974</v>
      </c>
      <c r="K43" s="8" t="s">
        <v>975</v>
      </c>
      <c r="L43" s="8" t="s">
        <v>1043</v>
      </c>
      <c r="M43" s="8" t="s">
        <v>976</v>
      </c>
      <c r="N43" s="8" t="s">
        <v>385</v>
      </c>
      <c r="O43" s="8" t="s">
        <v>1044</v>
      </c>
      <c r="P43" s="8" t="s">
        <v>1045</v>
      </c>
      <c r="Q43" s="8" t="s">
        <v>977</v>
      </c>
      <c r="R43">
        <f>1*P39</f>
        <v>0</v>
      </c>
      <c r="S43">
        <f>1*P39</f>
        <v>0</v>
      </c>
      <c r="T43">
        <f>1*P39</f>
        <v>0</v>
      </c>
      <c r="U43">
        <f>1*P39</f>
        <v>0</v>
      </c>
      <c r="V43">
        <f>1*P39</f>
        <v>0</v>
      </c>
      <c r="W43">
        <f>H47+INT(按提示输入属性!D36/2)+1</f>
        <v>4</v>
      </c>
      <c r="X43">
        <f>W43</f>
        <v>4</v>
      </c>
    </row>
    <row r="44" spans="1:16">
      <c r="A44" t="s">
        <v>997</v>
      </c>
      <c r="B44" t="e">
        <f>B36*(按提示输入属性!D62+按提示输入属性!#REF!)</f>
        <v>#VALUE!</v>
      </c>
      <c r="C44" t="e">
        <f>C36*(按提示输入属性!D62+按提示输入属性!#REF!)</f>
        <v>#VALUE!</v>
      </c>
      <c r="D44" t="e">
        <f>D36*(按提示输入属性!D62+按提示输入属性!#REF!)</f>
        <v>#VALUE!</v>
      </c>
      <c r="E44" t="e">
        <f>E36*(按提示输入属性!D62+按提示输入属性!#REF!)</f>
        <v>#VALUE!</v>
      </c>
      <c r="F44" t="e">
        <f>F36*(按提示输入属性!D62+按提示输入属性!#REF!)</f>
        <v>#VALUE!</v>
      </c>
      <c r="G44" t="e">
        <f>G36*(按提示输入属性!D62+按提示输入属性!#REF!)</f>
        <v>#VALUE!</v>
      </c>
      <c r="H44" t="e">
        <f>H36*(按提示输入属性!D62+按提示输入属性!#REF!)</f>
        <v>#VALUE!</v>
      </c>
      <c r="I44" t="e">
        <f>I36*(按提示输入属性!D62+按提示输入属性!#REF!)</f>
        <v>#VALUE!</v>
      </c>
      <c r="J44" t="e">
        <f>J36*(按提示输入属性!D62+按提示输入属性!#REF!)</f>
        <v>#VALUE!</v>
      </c>
      <c r="K44" t="e">
        <f>K36*(按提示输入属性!D62+按提示输入属性!#REF!)</f>
        <v>#VALUE!</v>
      </c>
      <c r="L44" t="e">
        <f>L36*(按提示输入属性!D62+按提示输入属性!#REF!)</f>
        <v>#VALUE!</v>
      </c>
      <c r="M44" t="e">
        <f>M36*(按提示输入属性!D62+按提示输入属性!#REF!)</f>
        <v>#VALUE!</v>
      </c>
      <c r="N44">
        <v>0</v>
      </c>
      <c r="O44" s="20" t="e">
        <f>O36*(按提示输入属性!D62+按提示输入属性!#REF!)</f>
        <v>#VALUE!</v>
      </c>
      <c r="P44" s="20"/>
    </row>
    <row r="45" spans="14:16">
      <c r="N45" s="20"/>
      <c r="O45" s="20"/>
      <c r="P45" s="20"/>
    </row>
    <row r="46" spans="1:21">
      <c r="A46" s="20"/>
      <c r="B46" s="20" t="s">
        <v>1059</v>
      </c>
      <c r="C46" s="20" t="s">
        <v>1060</v>
      </c>
      <c r="D46" s="20" t="s">
        <v>1061</v>
      </c>
      <c r="E46" s="20" t="s">
        <v>1062</v>
      </c>
      <c r="F46" s="20" t="s">
        <v>1063</v>
      </c>
      <c r="G46" s="20" t="s">
        <v>1064</v>
      </c>
      <c r="H46" s="20" t="s">
        <v>1065</v>
      </c>
      <c r="I46" s="20" t="s">
        <v>1066</v>
      </c>
      <c r="J46" s="20"/>
      <c r="K46" s="20"/>
      <c r="L46" s="20"/>
      <c r="M46" s="20"/>
      <c r="N46" s="20" t="s">
        <v>1025</v>
      </c>
      <c r="O46" s="20"/>
      <c r="P46" s="20"/>
      <c r="U46" t="s">
        <v>1067</v>
      </c>
    </row>
    <row r="47" spans="1:16">
      <c r="A47" s="20" t="s">
        <v>1068</v>
      </c>
      <c r="B47" s="20">
        <f>INT((按提示输入属性!D31-属性计算面板!B19*5*按提示输入属性!D42-按提示输入属性!D36*10-按提示输入属性!D37*4)/1.44)</f>
        <v>159</v>
      </c>
      <c r="C47" s="20" t="e">
        <f>B47-E47-B49</f>
        <v>#VALUE!</v>
      </c>
      <c r="D47" s="20" t="e">
        <f>C47-B49-C49-V39</f>
        <v>#VALUE!</v>
      </c>
      <c r="E47" s="20" t="e">
        <f>G39+G41+G44</f>
        <v>#VALUE!</v>
      </c>
      <c r="F47" s="20">
        <f>属性计算面板!B19*4*按提示输入属性!D42</f>
        <v>0</v>
      </c>
      <c r="G47" s="20">
        <f>F47/属性计算面板!B19</f>
        <v>0</v>
      </c>
      <c r="H47" s="20">
        <f>INT(F47/2-G47)</f>
        <v>0</v>
      </c>
      <c r="I47" s="20">
        <f>F47-G47-H47</f>
        <v>0</v>
      </c>
      <c r="J47" s="20"/>
      <c r="K47" s="20"/>
      <c r="L47" s="20"/>
      <c r="M47" s="20"/>
      <c r="N47" s="20"/>
      <c r="O47" s="20"/>
      <c r="P47" s="20"/>
    </row>
    <row r="48" spans="1:21">
      <c r="A48" s="20" t="s">
        <v>254</v>
      </c>
      <c r="B48" s="20" t="s">
        <v>1069</v>
      </c>
      <c r="C48" s="20" t="s">
        <v>1070</v>
      </c>
      <c r="D48" s="20" t="s">
        <v>1071</v>
      </c>
      <c r="E48" s="20" t="s">
        <v>1072</v>
      </c>
      <c r="F48" s="20" t="s">
        <v>1073</v>
      </c>
      <c r="G48" s="20" t="s">
        <v>1074</v>
      </c>
      <c r="H48" s="20" t="s">
        <v>1075</v>
      </c>
      <c r="I48" s="20" t="s">
        <v>1076</v>
      </c>
      <c r="J48" s="20" t="s">
        <v>1077</v>
      </c>
      <c r="K48" s="20"/>
      <c r="L48" s="20"/>
      <c r="M48" s="20"/>
      <c r="N48" s="20"/>
      <c r="O48" s="20"/>
      <c r="P48" s="20"/>
      <c r="U48" t="s">
        <v>1025</v>
      </c>
    </row>
    <row r="49" spans="1:21">
      <c r="A49" s="20" t="s">
        <v>1078</v>
      </c>
      <c r="B49" s="20">
        <f>2*属性计算面板!B12</f>
        <v>14</v>
      </c>
      <c r="C49" s="20">
        <f>属性计算面板!B12</f>
        <v>7</v>
      </c>
      <c r="D49" s="20">
        <f>MEDIAN(属性计算面板!B4+4%,0,100%)</f>
        <v>0.5394</v>
      </c>
      <c r="E49" s="20" t="e">
        <f>INT(C47/2)+1</f>
        <v>#VALUE!</v>
      </c>
      <c r="F49" s="20" t="e">
        <f>INT(E49*D49)+1+B49</f>
        <v>#VALUE!</v>
      </c>
      <c r="G49" s="20" t="e">
        <f>ROUND(E49-F49,0)</f>
        <v>#VALUE!</v>
      </c>
      <c r="H49" s="20" t="e">
        <f>D47-E49</f>
        <v>#VALUE!</v>
      </c>
      <c r="I49" s="20" t="e">
        <f>INT(H49*MIN(1,(属性计算面板!B4+7%)))</f>
        <v>#VALUE!</v>
      </c>
      <c r="J49" s="20" t="e">
        <f>MEDIAN(H49-I49,0,999999)</f>
        <v>#VALUE!</v>
      </c>
      <c r="K49" s="20"/>
      <c r="L49" s="20"/>
      <c r="M49" s="20"/>
      <c r="N49" s="20"/>
      <c r="O49" s="20"/>
      <c r="P49" s="20"/>
      <c r="U49" t="s">
        <v>1025</v>
      </c>
    </row>
    <row r="50" spans="1:22">
      <c r="A50" s="20"/>
      <c r="B50" s="20"/>
      <c r="C50" s="20"/>
      <c r="D50" s="20" t="s">
        <v>1079</v>
      </c>
      <c r="E50" s="20" t="s">
        <v>1080</v>
      </c>
      <c r="F50" s="20"/>
      <c r="G50" s="20"/>
      <c r="H50" s="20"/>
      <c r="I50" s="20" t="s">
        <v>1081</v>
      </c>
      <c r="J50" s="20"/>
      <c r="K50" s="20"/>
      <c r="L50" s="20"/>
      <c r="M50" s="20" t="s">
        <v>184</v>
      </c>
      <c r="N50" s="20"/>
      <c r="O50" s="20"/>
      <c r="P50" s="20"/>
      <c r="V50" t="s">
        <v>184</v>
      </c>
    </row>
    <row r="51" spans="1:16">
      <c r="A51" s="20" t="s">
        <v>1082</v>
      </c>
      <c r="B51" s="20" t="s">
        <v>337</v>
      </c>
      <c r="C51" s="20" t="b">
        <f>IF(COUNTIF(按提示输入属性!D80,B51)&gt;0,TRUE,FALSE)</f>
        <v>0</v>
      </c>
      <c r="D51" s="20" t="e">
        <f>INT(F49*D53)</f>
        <v>#VALUE!</v>
      </c>
      <c r="E51" s="20" t="e">
        <f>INT(G49*D53)</f>
        <v>#VALUE!</v>
      </c>
      <c r="F51" s="20" t="e">
        <f>F49-D52</f>
        <v>#VALUE!</v>
      </c>
      <c r="G51" s="20" t="e">
        <f>G49-E52+I51</f>
        <v>#VALUE!</v>
      </c>
      <c r="H51" s="20" t="e">
        <f>I49+J49-I51</f>
        <v>#VALUE!</v>
      </c>
      <c r="I51" s="20">
        <f>INT(L39*D53/2+1)</f>
        <v>1</v>
      </c>
      <c r="J51" s="20"/>
      <c r="K51" s="20"/>
      <c r="L51" s="20"/>
      <c r="M51" s="20"/>
      <c r="N51" s="20"/>
      <c r="O51" s="20"/>
      <c r="P51" s="20"/>
    </row>
    <row r="52" spans="1:16">
      <c r="A52" s="20"/>
      <c r="B52" s="20"/>
      <c r="C52" s="20"/>
      <c r="D52" s="20">
        <f>SUMIFS(D51,D51,"&gt;0",C51,TRUE)</f>
        <v>0</v>
      </c>
      <c r="E52" s="20">
        <f>SUMIFS(E51,E51,"&gt;0",C51,TRUE)</f>
        <v>0</v>
      </c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>
      <c r="A53" s="20"/>
      <c r="B53" s="20"/>
      <c r="C53" s="20"/>
      <c r="D53" s="20">
        <f>MEDIAN(属性计算面板!B4+4%,0,100%)</f>
        <v>0.5394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2:18">
      <c r="B58" s="8" t="s">
        <v>383</v>
      </c>
      <c r="C58" s="8" t="s">
        <v>1083</v>
      </c>
      <c r="D58" s="8" t="s">
        <v>1043</v>
      </c>
      <c r="E58" s="8" t="s">
        <v>976</v>
      </c>
      <c r="F58" s="8" t="s">
        <v>385</v>
      </c>
      <c r="G58" s="8" t="s">
        <v>981</v>
      </c>
      <c r="H58" s="8" t="s">
        <v>980</v>
      </c>
      <c r="I58" s="8" t="s">
        <v>103</v>
      </c>
      <c r="J58" s="8" t="s">
        <v>1044</v>
      </c>
      <c r="K58" s="8" t="s">
        <v>1048</v>
      </c>
      <c r="L58" s="8" t="s">
        <v>72</v>
      </c>
      <c r="M58" s="8" t="s">
        <v>1084</v>
      </c>
      <c r="N58" s="8" t="s">
        <v>1049</v>
      </c>
      <c r="O58" s="8" t="s">
        <v>1085</v>
      </c>
      <c r="P58" s="8" t="s">
        <v>1086</v>
      </c>
      <c r="Q58" s="8" t="s">
        <v>959</v>
      </c>
      <c r="R58" s="8" t="s">
        <v>1050</v>
      </c>
    </row>
    <row r="59" spans="1:18">
      <c r="A59" t="s">
        <v>1087</v>
      </c>
      <c r="B59" t="e">
        <f>INT((SUM(U6:U10)*B41+SUM(V6:V10)*B44)*(MEDIAN(逆推系数!M6+逆推系数!N6+25%,0,100%)))</f>
        <v>#VALUE!</v>
      </c>
      <c r="C59" t="e">
        <f>INT((SUM(逆推系数!U16:U19)*3+SUM(逆推系数!V16:V19))*(MEDIAN(M16+25%,0,100%)))</f>
        <v>#VALUE!</v>
      </c>
      <c r="D59" t="e">
        <f>INT((L41*逆推系数!U12+L44*逆推系数!V12)*(MEDIAN(逆推系数!M12+25%+逆推系数!N12,0,100%)))</f>
        <v>#VALUE!</v>
      </c>
      <c r="E59" t="e">
        <f>INT((逆推系数!U20*M41+逆推系数!V20*M44)*(MEDIAN(M20+25%,0,100%)))</f>
        <v>#VALUE!</v>
      </c>
      <c r="F59" t="e">
        <f>INT(逆推系数!U11*N41*(MEDIAN(M11+N11+25%,0,100%)))</f>
        <v>#VALUE!</v>
      </c>
      <c r="G59" t="e">
        <f>INT(U26*O41*(MEDIAN(M26+25%,0,100%)))</f>
        <v>#VALUE!</v>
      </c>
      <c r="H59">
        <f>INT(U25*(MEDIAN(M25+25%,0,100%)))</f>
        <v>45462</v>
      </c>
      <c r="I59" t="e">
        <f>INT((SUM(B59:H59)+J59)*22.85%*30%*1%*属性计算面板!B16+SUM(B59:H59)*22.85%*70%*5%*属性计算面板!B16)</f>
        <v>#VALUE!</v>
      </c>
      <c r="J59" t="e">
        <f>INT((Q41*逆推系数!U13+O44*逆推系数!V13)*(MEDIAN(逆推系数!M13+25%+逆推系数!N13,0,100%)))</f>
        <v>#VALUE!</v>
      </c>
      <c r="K59" t="e">
        <f>INT((T41*逆推系数!X14)*(MEDIAN(逆推系数!M14+25%+逆推系数!N14,0,100%)))</f>
        <v>#REF!</v>
      </c>
      <c r="L59">
        <f>逆推系数!T27*按提示输入属性!D35</f>
        <v>0</v>
      </c>
      <c r="M59">
        <f>INT((SUM(X6:X10)*R43)*(MEDIAN(逆推系数!M6+逆推系数!N6+25%,0,100%)))</f>
        <v>0</v>
      </c>
      <c r="N59">
        <f>INT((U41*逆推系数!X21)*(MEDIAN(逆推系数!M21+25%+逆推系数!N21,0,100%)))</f>
        <v>0</v>
      </c>
      <c r="O59">
        <f>INT((W41*逆推系数!U5)*(MEDIAN(逆推系数!M5+25%+逆推系数!N5,0,100%)))</f>
        <v>0</v>
      </c>
      <c r="P59">
        <f>INT((W41*逆推系数!U22)*(MEDIAN(逆推系数!M22+25%+逆推系数!N22,0,100%)))</f>
        <v>0</v>
      </c>
      <c r="Q59">
        <f>INT((W43*逆推系数!X5)*(MEDIAN(逆推系数!M5+25%+逆推系数!N5,0,100%)))</f>
        <v>4065537</v>
      </c>
      <c r="R59">
        <f>INT((X43*T22)*(MEDIAN(逆推系数!M22+25%+逆推系数!N22,0,100%)))</f>
        <v>1196156</v>
      </c>
    </row>
    <row r="60" spans="2:19">
      <c r="B60" s="18" t="s">
        <v>383</v>
      </c>
      <c r="C60" s="18" t="s">
        <v>999</v>
      </c>
      <c r="D60" s="18" t="s">
        <v>1044</v>
      </c>
      <c r="E60" s="18" t="s">
        <v>976</v>
      </c>
      <c r="F60" s="18" t="s">
        <v>385</v>
      </c>
      <c r="G60" s="18" t="s">
        <v>1047</v>
      </c>
      <c r="H60" s="18" t="s">
        <v>364</v>
      </c>
      <c r="I60" s="18" t="s">
        <v>981</v>
      </c>
      <c r="J60" s="18" t="s">
        <v>980</v>
      </c>
      <c r="K60" s="18" t="s">
        <v>103</v>
      </c>
      <c r="L60" s="18" t="s">
        <v>70</v>
      </c>
      <c r="M60" s="18" t="s">
        <v>1088</v>
      </c>
      <c r="N60" s="18" t="s">
        <v>1089</v>
      </c>
      <c r="O60" s="18" t="s">
        <v>1045</v>
      </c>
      <c r="P60" s="18" t="s">
        <v>977</v>
      </c>
      <c r="Q60" s="18" t="s">
        <v>959</v>
      </c>
      <c r="R60" s="18" t="s">
        <v>1050</v>
      </c>
      <c r="S60" s="18" t="s">
        <v>1043</v>
      </c>
    </row>
    <row r="61" spans="1:19">
      <c r="A61" t="s">
        <v>1090</v>
      </c>
      <c r="B61">
        <f>INT(SUM(T6:T10)*B39*(MEDIAN(M6+N6,0,100%)))</f>
        <v>34934193</v>
      </c>
      <c r="C61" t="e">
        <f>INT(SUM(T15:T19)*H39*(MEDIAN(M16+N16,0,100%)))+INT(T15*(G39-H39)*(MEDIAN(M16+N16,0,100%)))</f>
        <v>#VALUE!</v>
      </c>
      <c r="D61" t="e">
        <f>INT(SUM(T13)*S39*(MEDIAN(M13+N13,0,100%)))</f>
        <v>#REF!</v>
      </c>
      <c r="E61" t="e">
        <f>INT(SUM(T20)*M39*(MEDIAN(M20+N20,0,100%)))</f>
        <v>#VALUE!</v>
      </c>
      <c r="F61" t="e">
        <f>INT(SUM(T11)*N39*(MEDIAN(M11+N11,0,100%)))</f>
        <v>#VALUE!</v>
      </c>
      <c r="G61">
        <f>INT(SUM(T23)*O39*(MEDIAN(M23+N23,0,100%)))</f>
        <v>0</v>
      </c>
      <c r="H61">
        <f>INT(SUM(T24)*P39*(MEDIAN(M24+N24,0,100%)))</f>
        <v>0</v>
      </c>
      <c r="I61" t="e">
        <f>INT(SUM(T26)*Q39*(MEDIAN(M26+N26,0,100%)))</f>
        <v>#VALUE!</v>
      </c>
      <c r="J61" t="e">
        <f>INT(SUM(T25)*R39*(MEDIAN(M25+N25,0,100%)))</f>
        <v>#VALUE!</v>
      </c>
      <c r="K61" t="e">
        <f>INT((SUM(B61:J61)+SUM(M61:P61))*22.85%*30%*1%*属性计算面板!B16+SUM(B61:J61)*22.85%*70%*5%*属性计算面板!B16)</f>
        <v>#VALUE!</v>
      </c>
      <c r="L61">
        <f>(T28+T29)*按提示输入属性!D34</f>
        <v>0</v>
      </c>
      <c r="M61" t="e">
        <f>(C59+D59+C61+D61+C64+D64+C66+D66)*10%*按提示输入属性!D105</f>
        <v>#VALUE!</v>
      </c>
      <c r="O61" t="e">
        <f>INT(SUM(T14)*T39*(MEDIAN(M14+N14,0,100%)))</f>
        <v>#REF!</v>
      </c>
      <c r="P61" t="e">
        <f>INT(SUM(T21)*U39*(MEDIAN(M21+N21,0,100%)))</f>
        <v>#VALUE!</v>
      </c>
      <c r="Q61">
        <f>INT(SUM(T5)*V39*(MEDIAN(M5+N5,0,100%)))</f>
        <v>5424641</v>
      </c>
      <c r="R61">
        <f>INT(V41*T22*(MEDIAN(M22+N22,0,100%)))</f>
        <v>1992795</v>
      </c>
      <c r="S61" t="e">
        <f>INT(SUM(T12)*L39*(MEDIAN(M12+N12,0,100%)))</f>
        <v>#REF!</v>
      </c>
    </row>
    <row r="62" spans="4:17">
      <c r="D62" t="e">
        <f>D61*(属性计算面板!B4+10%+4%)*30%/(S39+T39)*N39*(属性计算面板!B5+20%)*按提示输入属性!#REF!</f>
        <v>#REF!</v>
      </c>
      <c r="L62">
        <f>逆推系数!U57*按提示输入属性!D94*5</f>
        <v>0</v>
      </c>
      <c r="Q62">
        <f>INT(Q61*0.4*0.25)*按提示输入属性!D53</f>
        <v>0</v>
      </c>
    </row>
    <row r="63" spans="2:17">
      <c r="B63" s="8" t="s">
        <v>383</v>
      </c>
      <c r="C63" s="8" t="s">
        <v>1083</v>
      </c>
      <c r="D63" s="8" t="s">
        <v>1043</v>
      </c>
      <c r="E63" s="8" t="s">
        <v>976</v>
      </c>
      <c r="F63" s="8" t="s">
        <v>385</v>
      </c>
      <c r="G63" s="8" t="s">
        <v>981</v>
      </c>
      <c r="H63" s="8" t="s">
        <v>980</v>
      </c>
      <c r="I63" s="8" t="s">
        <v>103</v>
      </c>
      <c r="J63" s="8" t="s">
        <v>1044</v>
      </c>
      <c r="K63" s="8" t="s">
        <v>1048</v>
      </c>
      <c r="L63" s="8" t="s">
        <v>1084</v>
      </c>
      <c r="M63" s="8" t="s">
        <v>1049</v>
      </c>
      <c r="N63" s="8" t="s">
        <v>1085</v>
      </c>
      <c r="O63" s="8" t="s">
        <v>1086</v>
      </c>
      <c r="P63" s="8" t="s">
        <v>959</v>
      </c>
      <c r="Q63" s="8" t="s">
        <v>1050</v>
      </c>
    </row>
    <row r="64" spans="1:17">
      <c r="A64" t="s">
        <v>1091</v>
      </c>
      <c r="B64" t="e">
        <f>INT((SUM(R6:R10)*B41+SUM(S6:S10)*B44)*(1-(MEDIAN(逆推系数!M6+逆推系数!N6+25%,0,100%))))</f>
        <v>#VALUE!</v>
      </c>
      <c r="C64" t="e">
        <f>INT((SUM(逆推系数!R16:R19)*3+SUM(逆推系数!S16:S19))*(1-(MEDIAN(M16+25%,0,100%))))</f>
        <v>#VALUE!</v>
      </c>
      <c r="D64" t="e">
        <f>INT((L41*逆推系数!R12+L44*逆推系数!S12)*(1-(MEDIAN(逆推系数!M12+25%+逆推系数!N12,0,100%))))</f>
        <v>#VALUE!</v>
      </c>
      <c r="E64" t="e">
        <f>INT((逆推系数!R20*M41+逆推系数!S20*M44)*(1-(MEDIAN(M20+25%,0,100%))))</f>
        <v>#VALUE!</v>
      </c>
      <c r="F64" t="e">
        <f>INT(逆推系数!R11*N41*(1-(MEDIAN(M11+N11+25%,0,100%))))</f>
        <v>#VALUE!</v>
      </c>
      <c r="G64" t="e">
        <f>INT(U26*O41*(1-(MEDIAN(M26+25%,0,100%))))</f>
        <v>#VALUE!</v>
      </c>
      <c r="H64">
        <f>INT(U25*(1-(MEDIAN(M25+25%,0,100%))))</f>
        <v>15202</v>
      </c>
      <c r="I64" t="e">
        <f>INT((SUM(B64:H64)+J64)*22.85%*30%*1%*属性计算面板!B16+(SUM(B64:H64)+J64)*22.85%*70%*5%*属性计算面板!B16)</f>
        <v>#VALUE!</v>
      </c>
      <c r="J64" t="e">
        <f>INT((Q41*逆推系数!R13+O44*逆推系数!S13)*(1-(MEDIAN(逆推系数!M13+25%+逆推系数!N13,0,100%))))</f>
        <v>#VALUE!</v>
      </c>
      <c r="K64" t="e">
        <f>INT((T41*逆推系数!W14)*(1-(MEDIAN(逆推系数!M14+25%+逆推系数!N14,0,100%))))</f>
        <v>#REF!</v>
      </c>
      <c r="L64">
        <f>INT((SUM(W6:W10)*R43)*(1-(MEDIAN(逆推系数!M6+逆推系数!N6+25%,0,100%))))</f>
        <v>0</v>
      </c>
      <c r="M64">
        <f>INT((U41*逆推系数!W21)*(1-(MEDIAN(逆推系数!M21+25%+逆推系数!N21,0,100%))))</f>
        <v>0</v>
      </c>
      <c r="N64">
        <f>INT((W41*逆推系数!R5)*(1-(MEDIAN(逆推系数!M5+25%+逆推系数!N5,0,100%))))</f>
        <v>0</v>
      </c>
      <c r="O64">
        <f>INT((W41*逆推系数!R22)*(1-(MEDIAN(逆推系数!M22+25%+逆推系数!N22,0,100%))))</f>
        <v>0</v>
      </c>
      <c r="P64">
        <f>INT((W43*逆推系数!W5)*(1-(MEDIAN(逆推系数!M5+25%+逆推系数!N5,0,100%))))</f>
        <v>295481</v>
      </c>
      <c r="Q64">
        <f>INT((X43*T22)*(1-(MEDIAN(逆推系数!M22+25%+逆推系数!N22,0,100%))))</f>
        <v>399995</v>
      </c>
    </row>
    <row r="65" spans="2:17">
      <c r="B65" s="18" t="s">
        <v>383</v>
      </c>
      <c r="C65" s="18" t="s">
        <v>999</v>
      </c>
      <c r="D65" s="18" t="s">
        <v>1044</v>
      </c>
      <c r="E65" s="18" t="s">
        <v>976</v>
      </c>
      <c r="F65" s="18" t="s">
        <v>385</v>
      </c>
      <c r="G65" s="18" t="s">
        <v>1047</v>
      </c>
      <c r="H65" s="18" t="s">
        <v>364</v>
      </c>
      <c r="I65" s="18" t="s">
        <v>981</v>
      </c>
      <c r="J65" s="18" t="s">
        <v>980</v>
      </c>
      <c r="K65" s="18" t="s">
        <v>103</v>
      </c>
      <c r="L65" s="18" t="s">
        <v>1045</v>
      </c>
      <c r="M65" s="18" t="s">
        <v>977</v>
      </c>
      <c r="N65" s="18" t="s">
        <v>959</v>
      </c>
      <c r="O65" s="18" t="s">
        <v>1050</v>
      </c>
      <c r="P65" s="18"/>
      <c r="Q65" s="18" t="s">
        <v>1043</v>
      </c>
    </row>
    <row r="66" spans="1:17">
      <c r="A66" t="s">
        <v>1092</v>
      </c>
      <c r="B66">
        <f>INT(SUM(Q6:Q10)*B39*(1-(MEDIAN(M6+N6,0,100%))))</f>
        <v>10663541</v>
      </c>
      <c r="C66" t="e">
        <f>INT(SUM(Q15:Q19)*H39*(1-(MEDIAN(M16+N16,0,100%))))+INT(Q15*(G39-H39)*(1-(MEDIAN(M16+N16,0,100%))))</f>
        <v>#VALUE!</v>
      </c>
      <c r="D66" t="e">
        <f>INT(SUM(Q13)*S39*(1-(MEDIAN(M13+N13,0,100%))))</f>
        <v>#REF!</v>
      </c>
      <c r="E66" t="e">
        <f>INT(SUM(Q20)*M39*(1-(MEDIAN(M20+N20,0,100%))))</f>
        <v>#VALUE!</v>
      </c>
      <c r="F66" t="e">
        <f>INT(SUM(Q11)*N39*(1-(MEDIAN(M11+N11,0,100%))))</f>
        <v>#VALUE!</v>
      </c>
      <c r="G66">
        <f>INT(SUM(Q23)*O39*(1-(MEDIAN(M23+N23,0,100%))))</f>
        <v>0</v>
      </c>
      <c r="H66">
        <f>INT(SUM(Q24)*P39*(1-(MEDIAN(M24+N24,0,100%))))</f>
        <v>0</v>
      </c>
      <c r="I66" t="e">
        <f>INT(SUM(T26)*Q39*(1-(MEDIAN(M26+N26,0,100%))))</f>
        <v>#VALUE!</v>
      </c>
      <c r="J66" t="e">
        <f>INT(SUM(Q25)*R39*(1-(MEDIAN(M25+N25,0,100%))))</f>
        <v>#VALUE!</v>
      </c>
      <c r="K66" t="e">
        <f>INT((SUM(B66:J66)+SUM(L66:M66))*22.85%*30%*1%*属性计算面板!B16+SUM(B66:J66)*22.85%*70%*5%*属性计算面板!B16)</f>
        <v>#VALUE!</v>
      </c>
      <c r="L66" t="e">
        <f>INT(SUM(Q14)*T39*(1-(MEDIAN(M14+N14,0,100%))))</f>
        <v>#REF!</v>
      </c>
      <c r="M66" t="e">
        <f>INT(SUM(Q21)*U39*(1-(MEDIAN(M21+N21,0,100%))))</f>
        <v>#VALUE!</v>
      </c>
      <c r="N66">
        <f>INT(SUM(Q5)*V39*(1-(MEDIAN(M5+N5,0,100%))))</f>
        <v>1655848</v>
      </c>
      <c r="O66">
        <f>INT(V41*Q22*(1-(MEDIAN(M5+N5,0,100%))))</f>
        <v>765037</v>
      </c>
      <c r="Q66" t="e">
        <f>INT(SUM(Q12)*L39*(1-(MEDIAN(M12+N12,0,100%))))</f>
        <v>#REF!</v>
      </c>
    </row>
    <row r="67" spans="4:14">
      <c r="D67" t="e">
        <f>D66*(属性计算面板!B4+10%+4%)*30%/(S39+T39)*N39*(属性计算面板!B5+20%)*按提示输入属性!#REF!</f>
        <v>#REF!</v>
      </c>
      <c r="N67">
        <f>INT(N66*0.4*0.25)*按提示输入属性!D53</f>
        <v>0</v>
      </c>
    </row>
    <row r="69" spans="1:2">
      <c r="A69" t="s">
        <v>996</v>
      </c>
      <c r="B69" t="e">
        <f>(SUM(B59:R59)+SUM(B61:S62)+SUM(B66:Q67)+SUM(B64:Q64))*按提示输入属性!D39</f>
        <v>#VALUE!</v>
      </c>
    </row>
    <row r="77" spans="1:6">
      <c r="A77" t="s">
        <v>1020</v>
      </c>
      <c r="B77" t="s">
        <v>1093</v>
      </c>
      <c r="C77" t="s">
        <v>1094</v>
      </c>
      <c r="D77" t="s">
        <v>1095</v>
      </c>
      <c r="E77" t="s">
        <v>1096</v>
      </c>
      <c r="F77" t="s">
        <v>1097</v>
      </c>
    </row>
    <row r="78" spans="1:7">
      <c r="A78">
        <v>229</v>
      </c>
      <c r="B78">
        <v>10</v>
      </c>
      <c r="C78">
        <f>16*3</f>
        <v>48</v>
      </c>
      <c r="D78">
        <v>12</v>
      </c>
      <c r="E78">
        <v>12</v>
      </c>
      <c r="F78">
        <v>16</v>
      </c>
      <c r="G78">
        <f>A78*C80/B78/E78/F78/F78</f>
        <v>0.298177083333333</v>
      </c>
    </row>
    <row r="79" spans="7:7">
      <c r="G79">
        <v>0.2981771</v>
      </c>
    </row>
    <row r="80" spans="3:3">
      <c r="C80">
        <f>MAX(16,B78*C78/D78)</f>
        <v>40</v>
      </c>
    </row>
  </sheetData>
  <mergeCells count="3">
    <mergeCell ref="A34:P34"/>
    <mergeCell ref="A37:P37"/>
    <mergeCell ref="A42:Q42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2"/>
  <sheetViews>
    <sheetView workbookViewId="0">
      <pane xSplit="1" topLeftCell="B1" activePane="topRight" state="frozen"/>
      <selection/>
      <selection pane="topRight" activeCell="B55" sqref="B55"/>
    </sheetView>
  </sheetViews>
  <sheetFormatPr defaultColWidth="9.64166666666667" defaultRowHeight="13.5"/>
  <cols>
    <col min="1" max="1" width="14.75" customWidth="1"/>
    <col min="2" max="5" width="12.625"/>
    <col min="6" max="6" width="11.375" customWidth="1"/>
    <col min="7" max="7" width="9.75" customWidth="1"/>
    <col min="8" max="8" width="8.875" customWidth="1"/>
    <col min="9" max="9" width="11.25" customWidth="1"/>
    <col min="10" max="10" width="10" customWidth="1"/>
    <col min="11" max="11" width="14.25" customWidth="1"/>
    <col min="12" max="14" width="8.875" customWidth="1"/>
    <col min="15" max="15" width="15" customWidth="1"/>
    <col min="16" max="16" width="8.875" customWidth="1"/>
    <col min="17" max="18" width="12.625"/>
    <col min="19" max="19" width="19.125" customWidth="1"/>
    <col min="20" max="20" width="13.125" customWidth="1"/>
    <col min="21" max="21" width="16.25" customWidth="1"/>
    <col min="22" max="22" width="22.25" customWidth="1"/>
    <col min="23" max="24" width="12.875" customWidth="1"/>
  </cols>
  <sheetData>
    <row r="1" spans="2:25">
      <c r="B1" t="s">
        <v>924</v>
      </c>
      <c r="C1" t="s">
        <v>25</v>
      </c>
      <c r="D1" t="s">
        <v>926</v>
      </c>
      <c r="E1" t="s">
        <v>927</v>
      </c>
      <c r="F1" t="s">
        <v>928</v>
      </c>
      <c r="G1" t="s">
        <v>929</v>
      </c>
      <c r="H1" t="s">
        <v>930</v>
      </c>
      <c r="I1" t="s">
        <v>931</v>
      </c>
      <c r="J1" t="s">
        <v>933</v>
      </c>
      <c r="K1" t="s">
        <v>38</v>
      </c>
      <c r="L1" t="s">
        <v>934</v>
      </c>
      <c r="M1" t="s">
        <v>28</v>
      </c>
      <c r="N1" t="s">
        <v>1038</v>
      </c>
      <c r="O1" t="s">
        <v>32</v>
      </c>
      <c r="P1" t="s">
        <v>1039</v>
      </c>
      <c r="Q1" t="s">
        <v>947</v>
      </c>
      <c r="R1" t="s">
        <v>948</v>
      </c>
      <c r="S1" t="s">
        <v>949</v>
      </c>
      <c r="T1" t="s">
        <v>950</v>
      </c>
      <c r="U1" t="s">
        <v>951</v>
      </c>
      <c r="V1" t="s">
        <v>952</v>
      </c>
      <c r="W1" t="s">
        <v>953</v>
      </c>
      <c r="X1" t="s">
        <v>954</v>
      </c>
      <c r="Y1" t="s">
        <v>957</v>
      </c>
    </row>
    <row r="2" ht="14.25" spans="1:25">
      <c r="A2" s="8" t="s">
        <v>959</v>
      </c>
      <c r="B2">
        <f>1150+78/2</f>
        <v>1189</v>
      </c>
      <c r="C2">
        <f>属性计算面板!B3</f>
        <v>45792</v>
      </c>
      <c r="D2" s="9">
        <v>2.171875</v>
      </c>
      <c r="E2" s="10">
        <v>1</v>
      </c>
      <c r="F2" s="11">
        <v>0.12</v>
      </c>
      <c r="G2" s="11">
        <f>0.1*按提示输入属性!D54</f>
        <v>0.1</v>
      </c>
      <c r="H2" s="11">
        <f>0.2+按提示输入属性!D65*1.6</f>
        <v>1.8</v>
      </c>
      <c r="I2" s="16">
        <f>属性计算面板!B6</f>
        <v>0.472</v>
      </c>
      <c r="J2" s="16">
        <f>27550*(1-60%-额外增益统计!L74)/(27550/2+51164.55)</f>
        <v>0.169696279078004</v>
      </c>
      <c r="K2" s="16">
        <f>属性计算面板!B7</f>
        <v>0.3473</v>
      </c>
      <c r="L2" s="16">
        <v>0.2</v>
      </c>
      <c r="M2" s="16">
        <f>属性计算面板!B4</f>
        <v>0.4994</v>
      </c>
      <c r="N2" s="16">
        <f>0.1*按提示输入属性!D63</f>
        <v>0</v>
      </c>
      <c r="O2" s="16">
        <f>属性计算面板!B5</f>
        <v>2.0895</v>
      </c>
      <c r="P2" s="16">
        <f>0.1*按提示输入属性!D63</f>
        <v>0</v>
      </c>
      <c r="Q2">
        <f>INT(INT(B2+C2*D2)*E2*(1+F2+G2)*(1+H2)*(1+I2)*(1-J2)*(1+K2)*(1-L2))</f>
        <v>452898</v>
      </c>
      <c r="R2">
        <f>INT((B2+(C2+属性计算面板!B2*50%)*D2)*E2*(1+F2+G2)*(1+H2)*(1+I2)*(1-J2)*(1+K2)*(1-L2))</f>
        <v>621005</v>
      </c>
      <c r="S2" t="e">
        <f>INT((B2+(C2+属性计算面板!B2*50%)*D2)*E2*(1+F2+G2)*(1+H2)*(1+I2+11.81%*按提示输入属性!D62+10.59%*按提示输入属性!#REF!)*(1-J2)*(1+K2)*(1-L2))</f>
        <v>#VALUE!</v>
      </c>
      <c r="T2">
        <f t="shared" ref="T2:T31" si="0">INT(Q2*(O2+P2))</f>
        <v>946330</v>
      </c>
      <c r="U2">
        <f>INT(R2*(O2+P2+0.2441+按提示输入属性!D64*0.1953))</f>
        <v>1570459</v>
      </c>
      <c r="V2" t="e">
        <f>INT(S2*(O2+P2+0.2441+按提示输入属性!D64*0.1953))</f>
        <v>#VALUE!</v>
      </c>
      <c r="W2">
        <f>INT((B2+(C2+属性计算面板!B2*25%)*D2)*E2*(1+F2+G2)*(1+H2)*(1+I2)*(1-J2)*(1+K2)*(1-L2))</f>
        <v>536952</v>
      </c>
      <c r="X2">
        <f t="shared" ref="X2:X7" si="1">INT(W2*(O2+P2+0.2441))</f>
        <v>1253031</v>
      </c>
      <c r="Y2">
        <f>INT(R2*(O2+P2+0.2441+按提示输入属性!D64*0.1953))</f>
        <v>1570459</v>
      </c>
    </row>
    <row r="3" ht="14.25" spans="1:24">
      <c r="A3" s="8" t="s">
        <v>960</v>
      </c>
      <c r="B3">
        <v>50</v>
      </c>
      <c r="C3">
        <f>属性计算面板!B3</f>
        <v>45792</v>
      </c>
      <c r="D3" s="12">
        <v>0.192708</v>
      </c>
      <c r="E3" s="10">
        <v>1</v>
      </c>
      <c r="F3" s="11">
        <v>0.12</v>
      </c>
      <c r="G3" s="11">
        <f>0.1*按提示输入属性!D54</f>
        <v>0.1</v>
      </c>
      <c r="H3" s="11">
        <f>0.2+按提示输入属性!D65*1.6</f>
        <v>1.8</v>
      </c>
      <c r="I3" s="16">
        <f>属性计算面板!B6</f>
        <v>0.472</v>
      </c>
      <c r="J3" s="16">
        <f>27550*(1-60%-额外增益统计!L74)/(27550/2+51164.55)</f>
        <v>0.169696279078004</v>
      </c>
      <c r="K3" s="16">
        <f>属性计算面板!B7</f>
        <v>0.3473</v>
      </c>
      <c r="L3" s="16">
        <v>0.2</v>
      </c>
      <c r="M3" s="16">
        <f>属性计算面板!B4</f>
        <v>0.4994</v>
      </c>
      <c r="N3" s="16">
        <f>0.1*按提示输入属性!D63</f>
        <v>0</v>
      </c>
      <c r="O3" s="16">
        <f>属性计算面板!B5</f>
        <v>2.0895</v>
      </c>
      <c r="P3" s="16">
        <f>0.1*按提示输入属性!D63</f>
        <v>0</v>
      </c>
      <c r="Q3">
        <f>INT(INT(B3+C3*D3)*E3*(1+F3+G3)*(1+H3)*(1+I3)*(1-J3)*(1+K3)*(1-L3))</f>
        <v>39933</v>
      </c>
      <c r="R3">
        <f>INT((B3+(C3+属性计算面板!B2*50%)*D3)*E3*(1+F3+G3)*(1+H3)*(1+I3)*(1-J3)*(1+K3)*(1-L3))</f>
        <v>54851</v>
      </c>
      <c r="S3" t="e">
        <f>INT((B3+(C3+属性计算面板!B2*50%)*D3)*E3*(1+F3+G3)*(1+H3)*(1+I3+11.81%*按提示输入属性!D62+10.59%*按提示输入属性!#REF!)*(1-J3)*(1+K3)*(1-L3))</f>
        <v>#VALUE!</v>
      </c>
      <c r="T3">
        <f t="shared" si="0"/>
        <v>83440</v>
      </c>
      <c r="U3">
        <f>INT(R3*(O3+P3+0.2441+按提示输入属性!D64*0.1953))</f>
        <v>138712</v>
      </c>
      <c r="V3" t="e">
        <f>INT(S3*(O3+P3+0.2441+按提示输入属性!D64*0.1953))</f>
        <v>#VALUE!</v>
      </c>
      <c r="W3">
        <f>INT((B3+(C3+属性计算面板!B2*25%)*D3)*E3*(1+F3+G3)*(1+H3)*(1+I3)*(1-J3)*(1+K3)*(1-L3))</f>
        <v>47393</v>
      </c>
      <c r="X3">
        <f t="shared" si="1"/>
        <v>110596</v>
      </c>
    </row>
    <row r="4" ht="14.25" spans="1:24">
      <c r="A4" s="8" t="s">
        <v>961</v>
      </c>
      <c r="B4">
        <v>50</v>
      </c>
      <c r="C4">
        <f>属性计算面板!B3</f>
        <v>45792</v>
      </c>
      <c r="D4" s="12">
        <v>0.192708</v>
      </c>
      <c r="E4" s="10">
        <v>1</v>
      </c>
      <c r="F4" s="11">
        <v>0.12</v>
      </c>
      <c r="G4" s="11">
        <f>0.1*按提示输入属性!D54+(1*1.15-1)</f>
        <v>0.25</v>
      </c>
      <c r="H4" s="11">
        <f>0.2+按提示输入属性!D65*1.6</f>
        <v>1.8</v>
      </c>
      <c r="I4" s="16">
        <f>属性计算面板!B6</f>
        <v>0.472</v>
      </c>
      <c r="J4" s="16">
        <f>27550*(1-60%-额外增益统计!L74)/(27550/2+51164.55)</f>
        <v>0.169696279078004</v>
      </c>
      <c r="K4" s="16">
        <f>属性计算面板!B7</f>
        <v>0.3473</v>
      </c>
      <c r="L4" s="16">
        <v>0.2</v>
      </c>
      <c r="M4" s="16">
        <f>属性计算面板!B4</f>
        <v>0.4994</v>
      </c>
      <c r="N4" s="16">
        <f>0.1*按提示输入属性!D63</f>
        <v>0</v>
      </c>
      <c r="O4" s="16">
        <f>属性计算面板!B5</f>
        <v>2.0895</v>
      </c>
      <c r="P4" s="16">
        <f>0.1*按提示输入属性!D63</f>
        <v>0</v>
      </c>
      <c r="Q4">
        <f t="shared" ref="Q4:Q31" si="2">INT((B4+C4*D4)*E4*(1+F4+G4)*(1+H4)*(1+I4)*(1-J4)*(1+K4)*(1-L4))</f>
        <v>44845</v>
      </c>
      <c r="R4">
        <f>INT((B4+(C4+属性计算面板!B2*50%)*D4)*E4*(1+F4+G4)*(1+H4)*(1+I4)*(1-J4)*(1+K4)*(1-L4))</f>
        <v>61595</v>
      </c>
      <c r="S4" t="e">
        <f>INT((B4+(C4+属性计算面板!B2*50%)*D4)*E4*(1+F4+G4)*(1+H4)*(1+I4+11.81%*按提示输入属性!D62+10.59%*按提示输入属性!#REF!)*(1-J4)*(1+K4)*(1-L4))</f>
        <v>#VALUE!</v>
      </c>
      <c r="T4">
        <f t="shared" si="0"/>
        <v>93703</v>
      </c>
      <c r="U4">
        <f>INT(R4*(O4+P4+0.2441+按提示输入属性!D64*0.1953))</f>
        <v>155767</v>
      </c>
      <c r="V4" t="e">
        <f>INT(S4*(O4+P4+0.2441+按提示输入属性!D64*0.1953))</f>
        <v>#VALUE!</v>
      </c>
      <c r="W4">
        <f>INT((B4+(C4+属性计算面板!B2*25%)*D4)*E4*(1+F4+G4)*(1+H4)*(1+I4)*(1-J4)*(1+K4)*(1-L4))</f>
        <v>53220</v>
      </c>
      <c r="X4">
        <f t="shared" si="1"/>
        <v>124194</v>
      </c>
    </row>
    <row r="5" ht="14.25" spans="1:24">
      <c r="A5" s="8" t="s">
        <v>962</v>
      </c>
      <c r="B5">
        <v>50</v>
      </c>
      <c r="C5">
        <f>属性计算面板!B3</f>
        <v>45792</v>
      </c>
      <c r="D5" s="12">
        <v>0.192708</v>
      </c>
      <c r="E5" s="10">
        <v>1</v>
      </c>
      <c r="F5" s="11">
        <v>0.12</v>
      </c>
      <c r="G5" s="11">
        <f>0.1*按提示输入属性!D54+(1*1.15*1.15-1)</f>
        <v>0.4225</v>
      </c>
      <c r="H5" s="11">
        <f>0.2+按提示输入属性!D65*1.6</f>
        <v>1.8</v>
      </c>
      <c r="I5" s="16">
        <f>属性计算面板!B6</f>
        <v>0.472</v>
      </c>
      <c r="J5" s="16">
        <f>27550*(1-60%-额外增益统计!L74)/(27550/2+51164.55)</f>
        <v>0.169696279078004</v>
      </c>
      <c r="K5" s="16">
        <f>属性计算面板!B7</f>
        <v>0.3473</v>
      </c>
      <c r="L5" s="16">
        <v>0.2</v>
      </c>
      <c r="M5" s="16">
        <f>属性计算面板!B4</f>
        <v>0.4994</v>
      </c>
      <c r="N5" s="16">
        <f>0.1*按提示输入属性!D63</f>
        <v>0</v>
      </c>
      <c r="O5" s="16">
        <f>属性计算面板!B5</f>
        <v>2.0895</v>
      </c>
      <c r="P5" s="16">
        <f>0.1*按提示输入属性!D63</f>
        <v>0</v>
      </c>
      <c r="Q5">
        <f t="shared" si="2"/>
        <v>50492</v>
      </c>
      <c r="R5">
        <f>INT((B5+(C5+属性计算面板!B2*50%)*D5)*E5*(1+F5+G5)*(1+H5)*(1+I5)*(1-J5)*(1+K5)*(1-L5))</f>
        <v>69350</v>
      </c>
      <c r="S5" t="e">
        <f>INT((B5+(C5+属性计算面板!B2*50%)*D5)*E5*(1+F5+G5)*(1+H5)*(1+I5+11.81%*按提示输入属性!D62+10.59%*按提示输入属性!#REF!)*(1-J5)*(1+K5)*(1-L5))</f>
        <v>#VALUE!</v>
      </c>
      <c r="T5">
        <f t="shared" si="0"/>
        <v>105503</v>
      </c>
      <c r="U5">
        <f>INT(R5*(O5+P5+0.2441+按提示输入属性!D64*0.1953))</f>
        <v>175379</v>
      </c>
      <c r="V5" t="e">
        <f>INT(S5*(O5+P5+0.2441+按提示输入属性!D64*0.1953))</f>
        <v>#VALUE!</v>
      </c>
      <c r="W5">
        <f>INT((B5+(C5+属性计算面板!B2*25%)*D5)*E5*(1+F5+G5)*(1+H5)*(1+I5)*(1-J5)*(1+K5)*(1-L5))</f>
        <v>59921</v>
      </c>
      <c r="X5">
        <f t="shared" si="1"/>
        <v>139831</v>
      </c>
    </row>
    <row r="6" ht="14.25" spans="1:24">
      <c r="A6" s="8" t="s">
        <v>963</v>
      </c>
      <c r="B6">
        <v>50</v>
      </c>
      <c r="C6">
        <f>属性计算面板!B3</f>
        <v>45792</v>
      </c>
      <c r="D6" s="12">
        <v>0.192708</v>
      </c>
      <c r="E6" s="10">
        <v>1</v>
      </c>
      <c r="F6" s="11">
        <v>0.12</v>
      </c>
      <c r="G6" s="11">
        <f>0.1*按提示输入属性!D54+(1*1.15*1.15*1.15-1)</f>
        <v>0.620875</v>
      </c>
      <c r="H6" s="11">
        <f>0.2+按提示输入属性!D65*1.6</f>
        <v>1.8</v>
      </c>
      <c r="I6" s="16">
        <f>属性计算面板!B6</f>
        <v>0.472</v>
      </c>
      <c r="J6" s="16">
        <f>27550*(1-60%-额外增益统计!L74)/(27550/2+51164.55)</f>
        <v>0.169696279078004</v>
      </c>
      <c r="K6" s="16">
        <f>属性计算面板!B7</f>
        <v>0.3473</v>
      </c>
      <c r="L6" s="16">
        <v>0.2</v>
      </c>
      <c r="M6" s="16">
        <f>属性计算面板!B4</f>
        <v>0.4994</v>
      </c>
      <c r="N6" s="16">
        <f>0.1*按提示输入属性!D63</f>
        <v>0</v>
      </c>
      <c r="O6" s="16">
        <f>属性计算面板!B5</f>
        <v>2.0895</v>
      </c>
      <c r="P6" s="16">
        <f>0.1*按提示输入属性!D63</f>
        <v>0</v>
      </c>
      <c r="Q6">
        <f t="shared" si="2"/>
        <v>56985</v>
      </c>
      <c r="R6">
        <f>INT((B6+(C6+属性计算面板!B2*50%)*D6)*E6*(1+F6+G6)*(1+H6)*(1+I6)*(1-J6)*(1+K6)*(1-L6))</f>
        <v>78269</v>
      </c>
      <c r="S6" t="e">
        <f>INT((B6+(C6+属性计算面板!B2*50%)*D6)*E6*(1+F6+G6)*(1+H6)*(1+I6+11.81%*按提示输入属性!D62+10.59%*按提示输入属性!#REF!)*(1-J6)*(1+K6)*(1-L6))</f>
        <v>#VALUE!</v>
      </c>
      <c r="T6">
        <f t="shared" si="0"/>
        <v>119070</v>
      </c>
      <c r="U6">
        <f>INT(R6*(O6+P6+0.2441+按提示输入属性!D64*0.1953))</f>
        <v>197934</v>
      </c>
      <c r="V6" t="e">
        <f>INT(S6*(O6+P6+0.2441+按提示输入属性!D64*0.1953))</f>
        <v>#VALUE!</v>
      </c>
      <c r="W6">
        <f>INT((B6+(C6+属性计算面板!B2*25%)*D6)*E6*(1+F6+G6)*(1+H6)*(1+I6)*(1-J6)*(1+K6)*(1-L6))</f>
        <v>67627</v>
      </c>
      <c r="X6">
        <f t="shared" si="1"/>
        <v>157814</v>
      </c>
    </row>
    <row r="7" ht="14.25" spans="1:24">
      <c r="A7" s="8" t="s">
        <v>964</v>
      </c>
      <c r="B7">
        <v>50</v>
      </c>
      <c r="C7">
        <f>属性计算面板!B3</f>
        <v>45792</v>
      </c>
      <c r="D7" s="12">
        <v>0.192708</v>
      </c>
      <c r="E7" s="10">
        <v>1</v>
      </c>
      <c r="F7" s="11">
        <v>0.12</v>
      </c>
      <c r="G7" s="13">
        <f>0.1*按提示输入属性!D54+(1*1.15*1.15*1.15*1.15-1)</f>
        <v>0.849006249999999</v>
      </c>
      <c r="H7" s="11">
        <f>0.2+按提示输入属性!D65*1.6</f>
        <v>1.8</v>
      </c>
      <c r="I7" s="16">
        <f>属性计算面板!B6</f>
        <v>0.472</v>
      </c>
      <c r="J7" s="16">
        <f>27550*(1-60%-额外增益统计!L74)/(27550/2+51164.55)</f>
        <v>0.169696279078004</v>
      </c>
      <c r="K7" s="16">
        <f>属性计算面板!B7</f>
        <v>0.3473</v>
      </c>
      <c r="L7" s="16">
        <v>0.2</v>
      </c>
      <c r="M7" s="16">
        <f>属性计算面板!B4</f>
        <v>0.4994</v>
      </c>
      <c r="N7" s="16">
        <f>0.1*按提示输入属性!D63</f>
        <v>0</v>
      </c>
      <c r="O7" s="16">
        <f>属性计算面板!B5</f>
        <v>2.0895</v>
      </c>
      <c r="P7" s="16">
        <f>0.1*按提示输入属性!D63</f>
        <v>0</v>
      </c>
      <c r="Q7">
        <f t="shared" si="2"/>
        <v>64453</v>
      </c>
      <c r="R7">
        <f>INT((B7+(C7+属性计算面板!B2*50%)*D7)*E7*(1+F7+G7)*(1+H7)*(1+I7)*(1-J7)*(1+K7)*(1-L7))</f>
        <v>88526</v>
      </c>
      <c r="S7" t="e">
        <f>INT((B7+(C7+属性计算面板!B2*50%)*D7)*E7*(1+F7+G7)*(1+H7)*(1+I7+11.81%*按提示输入属性!D62+10.59%*按提示输入属性!#REF!)*(1-J7)*(1+K7)*(1-L7))</f>
        <v>#VALUE!</v>
      </c>
      <c r="T7">
        <f t="shared" si="0"/>
        <v>134674</v>
      </c>
      <c r="U7">
        <f>INT(R7*(O7+P7+0.2441+按提示输入属性!D64*0.1953))</f>
        <v>223873</v>
      </c>
      <c r="V7" t="e">
        <f>INT(S7*(O7+P7+0.2441+按提示输入属性!D64*0.1953))</f>
        <v>#VALUE!</v>
      </c>
      <c r="W7">
        <f>INT((B7+(C7+属性计算面板!B2*25%)*D7)*E7*(1+F7+G7)*(1+H7)*(1+I7)*(1-J7)*(1+K7)*(1-L7))</f>
        <v>76490</v>
      </c>
      <c r="X7">
        <f t="shared" si="1"/>
        <v>178497</v>
      </c>
    </row>
    <row r="8" s="18" customFormat="1" spans="1:22">
      <c r="A8" s="18" t="s">
        <v>965</v>
      </c>
      <c r="B8" s="18">
        <f>1038+104/2</f>
        <v>1090</v>
      </c>
      <c r="C8" s="18">
        <f>属性计算面板!B3</f>
        <v>45792</v>
      </c>
      <c r="D8" s="18">
        <v>0.7265</v>
      </c>
      <c r="E8" s="18">
        <v>1</v>
      </c>
      <c r="H8" s="18">
        <v>0.2</v>
      </c>
      <c r="I8" s="18">
        <f>属性计算面板!B6</f>
        <v>0.472</v>
      </c>
      <c r="J8" s="18">
        <f>27550*(1-60%-额外增益统计!L74)/(27550/2+51164.55)</f>
        <v>0.169696279078004</v>
      </c>
      <c r="K8" s="18">
        <f>属性计算面板!B7</f>
        <v>0.3473</v>
      </c>
      <c r="L8" s="24">
        <v>0.2</v>
      </c>
      <c r="M8" s="18">
        <f>属性计算面板!B4</f>
        <v>0.4994</v>
      </c>
      <c r="O8" s="18">
        <f>属性计算面板!B5</f>
        <v>2.0895</v>
      </c>
      <c r="P8" s="18">
        <v>0.1953</v>
      </c>
      <c r="Q8" s="18">
        <f t="shared" si="2"/>
        <v>54313</v>
      </c>
      <c r="R8" s="18">
        <f>INT((B8+(C8+属性计算面板!B2*50%)*D8)*E8*(1+F8+G8)*(1+H8)*(1+I8)*(1-J8)*(1+K8)*(1-L8))</f>
        <v>74066</v>
      </c>
      <c r="S8" s="18" t="e">
        <f>INT((B8+(C8+属性计算面板!B2*50%)*D8)*E8*(1+F8+G8)*(1+H8)*(1+I8+11.81%*按提示输入属性!D62+10.59%*按提示输入属性!#REF!)*(1-J8)*(1+K8)*(1-L8))</f>
        <v>#VALUE!</v>
      </c>
      <c r="T8" s="18">
        <f t="shared" si="0"/>
        <v>124094</v>
      </c>
      <c r="U8" s="18">
        <f t="shared" ref="U8:U15" si="3">INT(R8*(O8+P8+0.2441))</f>
        <v>187305</v>
      </c>
      <c r="V8" s="18" t="e">
        <f t="shared" ref="V8:V15" si="4">INT(S8*(O8+P8+0.2441))</f>
        <v>#VALUE!</v>
      </c>
    </row>
    <row r="9" s="18" customFormat="1" spans="1:22">
      <c r="A9" s="18" t="s">
        <v>966</v>
      </c>
      <c r="B9" s="18">
        <v>51</v>
      </c>
      <c r="C9" s="18">
        <f>属性计算面板!B3</f>
        <v>45792</v>
      </c>
      <c r="D9" s="18">
        <v>0.5453</v>
      </c>
      <c r="E9" s="18">
        <v>1</v>
      </c>
      <c r="H9" s="18">
        <v>0.2</v>
      </c>
      <c r="I9" s="18">
        <f>属性计算面板!B6</f>
        <v>0.472</v>
      </c>
      <c r="J9" s="18">
        <f>27550*(1-60%-额外增益统计!L74)/(27550/2+51164.55)</f>
        <v>0.169696279078004</v>
      </c>
      <c r="K9" s="18">
        <f>属性计算面板!B7</f>
        <v>0.3473</v>
      </c>
      <c r="L9" s="24">
        <v>0.2</v>
      </c>
      <c r="M9" s="18">
        <f>属性计算面板!B4</f>
        <v>0.4994</v>
      </c>
      <c r="O9" s="18">
        <f>属性计算面板!B5</f>
        <v>2.0895</v>
      </c>
      <c r="Q9" s="18">
        <f t="shared" si="2"/>
        <v>39554</v>
      </c>
      <c r="R9" s="18">
        <f>INT((B9+(C9+属性计算面板!B2*50%)*D9)*E9*(1+F9+G9)*(1+H9)*(1+I9)*(1-J9)*(1+K9)*(1-L9))</f>
        <v>54380</v>
      </c>
      <c r="S9" s="18" t="e">
        <f>INT((B9+(C9+属性计算面板!B2*50%)*D9)*E9*(1+F9+G9)*(1+H9)*(1+I9+11.81%*按提示输入属性!D62+10.59%*按提示输入属性!#REF!)*(1-J9)*(1+K9)*(1-L9))</f>
        <v>#VALUE!</v>
      </c>
      <c r="T9" s="18">
        <f t="shared" si="0"/>
        <v>82648</v>
      </c>
      <c r="U9" s="18">
        <f t="shared" si="3"/>
        <v>126901</v>
      </c>
      <c r="V9" s="18" t="e">
        <f t="shared" si="4"/>
        <v>#VALUE!</v>
      </c>
    </row>
    <row r="10" ht="14.25" spans="1:24">
      <c r="A10" s="8" t="s">
        <v>967</v>
      </c>
      <c r="B10">
        <f>2087+20/2</f>
        <v>2097</v>
      </c>
      <c r="C10">
        <f>属性计算面板!B3</f>
        <v>45792</v>
      </c>
      <c r="D10" s="12">
        <v>1.109375</v>
      </c>
      <c r="E10" s="10">
        <v>1</v>
      </c>
      <c r="F10" s="14"/>
      <c r="G10" s="14"/>
      <c r="H10" s="11">
        <v>0.2</v>
      </c>
      <c r="I10" s="16">
        <f>属性计算面板!B6</f>
        <v>0.472</v>
      </c>
      <c r="J10" s="16">
        <f>27550*(1-60%-额外增益统计!L74)/(27550/2+51164.55)</f>
        <v>0.169696279078004</v>
      </c>
      <c r="K10" s="16">
        <f>属性计算面板!B7</f>
        <v>0.3473</v>
      </c>
      <c r="L10" s="16">
        <v>0.2</v>
      </c>
      <c r="M10" s="16">
        <f>属性计算面板!B4</f>
        <v>0.4994</v>
      </c>
      <c r="N10" s="16">
        <v>0.17</v>
      </c>
      <c r="O10" s="16">
        <f>属性计算面板!B5</f>
        <v>2.0895</v>
      </c>
      <c r="P10" s="16">
        <v>0.1</v>
      </c>
      <c r="Q10">
        <f t="shared" si="2"/>
        <v>83621</v>
      </c>
      <c r="R10">
        <f>INT((B10+(C10+属性计算面板!B2*50%)*D10)*E10*(1+F10+G10)*(1+H10)*(1+I10)*(1-J10)*(1+K10)*(1-L10))</f>
        <v>113784</v>
      </c>
      <c r="S10" t="e">
        <f>INT((B10+(C10+属性计算面板!B2*50%)*D10)*E10*(1+F10+G10)*(1+H10)*(1+I10+11.81%*按提示输入属性!D62+10.59%*按提示输入属性!#REF!)*(1-J10)*(1+K10)*(1-L10))</f>
        <v>#VALUE!</v>
      </c>
      <c r="T10">
        <f t="shared" si="0"/>
        <v>183088</v>
      </c>
      <c r="U10">
        <f t="shared" si="3"/>
        <v>276904</v>
      </c>
      <c r="V10" t="e">
        <f t="shared" si="4"/>
        <v>#VALUE!</v>
      </c>
      <c r="W10">
        <f>INT((B10+(C10+属性计算面板!B2*25%)*D10)*E10*(1+F10+G10)*(1+H10)*(1+I10)*(1-J10)*(1+K10)*(1-L10))</f>
        <v>98702</v>
      </c>
      <c r="X10">
        <f t="shared" ref="X10:X31" si="5">INT(W10*(O10+P10+0.2441))</f>
        <v>240201</v>
      </c>
    </row>
    <row r="11" ht="14.25" spans="1:24">
      <c r="A11" s="8" t="s">
        <v>968</v>
      </c>
      <c r="B11">
        <f>INT(2726+27/2)</f>
        <v>2739</v>
      </c>
      <c r="C11">
        <f>属性计算面板!B3</f>
        <v>45792</v>
      </c>
      <c r="D11" s="12">
        <v>1.515625</v>
      </c>
      <c r="E11" s="10">
        <v>1</v>
      </c>
      <c r="F11" s="14">
        <v>0.09</v>
      </c>
      <c r="G11" s="14" t="e">
        <f>10%*按提示输入属性!#REF!</f>
        <v>#REF!</v>
      </c>
      <c r="H11" s="11">
        <v>0.2</v>
      </c>
      <c r="I11" s="16">
        <f>属性计算面板!B6</f>
        <v>0.472</v>
      </c>
      <c r="J11" s="16">
        <f>27550*(1-60%-额外增益统计!L74)/(27550/2+51164.55)</f>
        <v>0.169696279078004</v>
      </c>
      <c r="K11" s="16">
        <f>属性计算面板!B7</f>
        <v>0.3473</v>
      </c>
      <c r="L11" s="16">
        <v>0.2</v>
      </c>
      <c r="M11" s="16">
        <f>属性计算面板!B4</f>
        <v>0.4994</v>
      </c>
      <c r="N11" s="16">
        <v>0.04</v>
      </c>
      <c r="O11" s="16">
        <f>属性计算面板!B5</f>
        <v>2.0895</v>
      </c>
      <c r="P11" s="16"/>
      <c r="Q11" t="e">
        <f t="shared" si="2"/>
        <v>#REF!</v>
      </c>
      <c r="R11" t="e">
        <f>INT((B11+(C11+属性计算面板!B2*50%)*D11)*E11*(1+F11+G11)*(1+H11)*(1+I11)*(1-J11)*(1+K11)*(1-L11))</f>
        <v>#REF!</v>
      </c>
      <c r="S11" t="e">
        <f>INT((B11+(C11+属性计算面板!B2*50%)*D11)*E11*(1+F11+G11)*(1+H11)*(1+I11+11.81%*按提示输入属性!D62+10.59%*按提示输入属性!#REF!)*(1-J11)*(1+K11)*(1-L11))</f>
        <v>#REF!</v>
      </c>
      <c r="T11" t="e">
        <f t="shared" si="0"/>
        <v>#REF!</v>
      </c>
      <c r="U11" t="e">
        <f t="shared" si="3"/>
        <v>#REF!</v>
      </c>
      <c r="V11" t="e">
        <f t="shared" si="4"/>
        <v>#REF!</v>
      </c>
      <c r="W11" t="e">
        <f>INT((B11+(C11+属性计算面板!B2*25%)*D11)*E11*(1+F11+G11)*(1+H11)*(1+I11)*(1-J11)*(1+K11)*(1-L11))</f>
        <v>#REF!</v>
      </c>
      <c r="X11" t="e">
        <f t="shared" si="5"/>
        <v>#REF!</v>
      </c>
    </row>
    <row r="12" ht="14.25" spans="1:24">
      <c r="A12" s="8" t="s">
        <v>1098</v>
      </c>
      <c r="B12">
        <f>INT(2726+27/2)</f>
        <v>2739</v>
      </c>
      <c r="C12">
        <f>属性计算面板!B3</f>
        <v>45792</v>
      </c>
      <c r="D12" s="12">
        <v>1.515625</v>
      </c>
      <c r="E12" s="10">
        <v>1</v>
      </c>
      <c r="F12" s="14">
        <v>0.09</v>
      </c>
      <c r="G12" s="14" t="e">
        <f>10%*按提示输入属性!#REF!</f>
        <v>#REF!</v>
      </c>
      <c r="H12" s="11">
        <v>0.2</v>
      </c>
      <c r="I12" s="16">
        <f>属性计算面板!B6</f>
        <v>0.472</v>
      </c>
      <c r="J12" s="16">
        <f>27550*(1-60%-额外增益统计!L74)/(27550/2+51164.55)</f>
        <v>0.169696279078004</v>
      </c>
      <c r="K12" s="16">
        <f>属性计算面板!B7</f>
        <v>0.3473</v>
      </c>
      <c r="L12" s="16">
        <v>0.2</v>
      </c>
      <c r="M12" s="16">
        <f>属性计算面板!B4</f>
        <v>0.4994</v>
      </c>
      <c r="N12" s="16">
        <v>0.04</v>
      </c>
      <c r="O12" s="16">
        <f>属性计算面板!B5</f>
        <v>2.0895</v>
      </c>
      <c r="P12" s="16">
        <v>0.1953</v>
      </c>
      <c r="Q12" t="e">
        <f t="shared" si="2"/>
        <v>#REF!</v>
      </c>
      <c r="R12" t="e">
        <f>INT((B12+(C12+属性计算面板!B2*50%)*D12)*E12*(1+F12+G12)*(1+H12)*(1+I12)*(1-J12)*(1+K12)*(1-L12))</f>
        <v>#REF!</v>
      </c>
      <c r="S12" t="e">
        <f>INT((B12+(C12+属性计算面板!B2*50%)*D12)*E12*(1+F12+G12)*(1+H12)*(1+I12+11.81%*按提示输入属性!D62+10.59%*按提示输入属性!#REF!)*(1-J12)*(1+K12)*(1-L12))</f>
        <v>#REF!</v>
      </c>
      <c r="T12" t="e">
        <f t="shared" si="0"/>
        <v>#REF!</v>
      </c>
      <c r="U12" t="e">
        <f t="shared" si="3"/>
        <v>#REF!</v>
      </c>
      <c r="V12" t="e">
        <f t="shared" si="4"/>
        <v>#REF!</v>
      </c>
      <c r="W12" t="e">
        <f>INT((B12+(C12+属性计算面板!B2*25%)*D12)*E12*(1+F12+G12)*(1+H12)*(1+I12)*(1-J12)*(1+K12)*(1-L12))</f>
        <v>#REF!</v>
      </c>
      <c r="X12" t="e">
        <f t="shared" si="5"/>
        <v>#REF!</v>
      </c>
    </row>
    <row r="13" ht="14.25" spans="1:24">
      <c r="A13" s="8" t="s">
        <v>969</v>
      </c>
      <c r="B13">
        <f>2454+24/2</f>
        <v>2466</v>
      </c>
      <c r="C13">
        <f>属性计算面板!B3</f>
        <v>45792</v>
      </c>
      <c r="D13" s="12">
        <v>1.364583</v>
      </c>
      <c r="E13" s="10">
        <v>1</v>
      </c>
      <c r="F13" s="14">
        <v>0.09</v>
      </c>
      <c r="G13" s="14" t="e">
        <f>10%*按提示输入属性!#REF!</f>
        <v>#REF!</v>
      </c>
      <c r="H13" s="11">
        <v>0.2</v>
      </c>
      <c r="I13" s="16">
        <f>属性计算面板!B6</f>
        <v>0.472</v>
      </c>
      <c r="J13" s="16">
        <f>27550*(1-60%-额外增益统计!L74)/(27550/2+51164.55)</f>
        <v>0.169696279078004</v>
      </c>
      <c r="K13" s="16">
        <f>属性计算面板!B7</f>
        <v>0.3473</v>
      </c>
      <c r="L13" s="16">
        <v>0.2</v>
      </c>
      <c r="M13" s="16">
        <f>属性计算面板!B4</f>
        <v>0.4994</v>
      </c>
      <c r="N13" s="16">
        <v>0.04</v>
      </c>
      <c r="O13" s="16">
        <f>属性计算面板!B5</f>
        <v>2.0895</v>
      </c>
      <c r="P13" s="16"/>
      <c r="Q13" t="e">
        <f t="shared" si="2"/>
        <v>#REF!</v>
      </c>
      <c r="R13" t="e">
        <f>INT((B13+(C13+属性计算面板!B2*50%)*D13)*E13*(1+F13+G13)*(1+H13)*(1+I13)*(1-J13)*(1+K13)*(1-L13))</f>
        <v>#REF!</v>
      </c>
      <c r="S13" t="e">
        <f>INT((B13+(C13+属性计算面板!B2*50%)*D13)*E13*(1+F13+G13)*(1+H13)*(1+I13+11.81%*按提示输入属性!D62+10.59%*按提示输入属性!#REF!)*(1-J13)*(1+K13)*(1-L13))</f>
        <v>#REF!</v>
      </c>
      <c r="T13" t="e">
        <f t="shared" si="0"/>
        <v>#REF!</v>
      </c>
      <c r="U13" t="e">
        <f t="shared" si="3"/>
        <v>#REF!</v>
      </c>
      <c r="V13" t="e">
        <f t="shared" si="4"/>
        <v>#REF!</v>
      </c>
      <c r="W13" t="e">
        <f>INT((B13+(C13+属性计算面板!B2*25%)*D13)*E13*(1+F13+G13)*(1+H13)*(1+I13)*(1-J13)*(1+K13)*(1-L13))</f>
        <v>#REF!</v>
      </c>
      <c r="X13" t="e">
        <f t="shared" si="5"/>
        <v>#REF!</v>
      </c>
    </row>
    <row r="14" ht="14.25" spans="1:24">
      <c r="A14" s="8" t="s">
        <v>970</v>
      </c>
      <c r="B14">
        <f>INT(2181+21/2)</f>
        <v>2191</v>
      </c>
      <c r="C14">
        <f>属性计算面板!B3</f>
        <v>45792</v>
      </c>
      <c r="D14" s="12">
        <v>1.213542</v>
      </c>
      <c r="E14" s="10">
        <v>1</v>
      </c>
      <c r="F14" s="14">
        <v>0.09</v>
      </c>
      <c r="G14" s="14" t="e">
        <f>10%*按提示输入属性!#REF!</f>
        <v>#REF!</v>
      </c>
      <c r="H14" s="11">
        <v>0.2</v>
      </c>
      <c r="I14" s="16">
        <f>属性计算面板!B6</f>
        <v>0.472</v>
      </c>
      <c r="J14" s="16">
        <f>27550*(1-60%-额外增益统计!L74)/(27550/2+51164.55)</f>
        <v>0.169696279078004</v>
      </c>
      <c r="K14" s="16">
        <f>属性计算面板!B7</f>
        <v>0.3473</v>
      </c>
      <c r="L14" s="16">
        <v>0.2</v>
      </c>
      <c r="M14" s="16">
        <f>属性计算面板!B4</f>
        <v>0.4994</v>
      </c>
      <c r="N14" s="16">
        <v>0.04</v>
      </c>
      <c r="O14" s="16">
        <f>属性计算面板!B5</f>
        <v>2.0895</v>
      </c>
      <c r="P14" s="16"/>
      <c r="Q14" t="e">
        <f t="shared" si="2"/>
        <v>#REF!</v>
      </c>
      <c r="R14" t="e">
        <f>INT((B14+(C14+属性计算面板!B2*50%)*D14)*E14*(1+F14+G14)*(1+H14)*(1+I14)*(1-J14)*(1+K14)*(1-L14))</f>
        <v>#REF!</v>
      </c>
      <c r="S14" t="e">
        <f>INT((B14+(C14+属性计算面板!B2*50%)*D14)*E14*(1+F14+G14)*(1+H14)*(1+I14+11.81%*按提示输入属性!D62+10.59%*按提示输入属性!#REF!)*(1-J14)*(1+K14)*(1-L14))</f>
        <v>#REF!</v>
      </c>
      <c r="T14" t="e">
        <f t="shared" si="0"/>
        <v>#REF!</v>
      </c>
      <c r="U14" t="e">
        <f t="shared" si="3"/>
        <v>#REF!</v>
      </c>
      <c r="V14" t="e">
        <f t="shared" si="4"/>
        <v>#REF!</v>
      </c>
      <c r="W14" t="e">
        <f>INT((B14+(C14+属性计算面板!B2*25%)*D14)*E14*(1+F14+G14)*(1+H14)*(1+I14)*(1-J14)*(1+K14)*(1-L14))</f>
        <v>#REF!</v>
      </c>
      <c r="X14" t="e">
        <f t="shared" si="5"/>
        <v>#REF!</v>
      </c>
    </row>
    <row r="15" ht="14.25" spans="1:24">
      <c r="A15" s="8" t="s">
        <v>971</v>
      </c>
      <c r="B15">
        <f t="shared" ref="B15:B19" si="6">64+52/2</f>
        <v>90</v>
      </c>
      <c r="C15">
        <f>属性计算面板!B3</f>
        <v>45792</v>
      </c>
      <c r="D15" s="12">
        <v>0.854167</v>
      </c>
      <c r="E15" s="10">
        <v>1</v>
      </c>
      <c r="F15" s="14"/>
      <c r="G15" s="14">
        <v>0.1</v>
      </c>
      <c r="H15" s="11">
        <v>0.2</v>
      </c>
      <c r="I15" s="16">
        <f>属性计算面板!B6</f>
        <v>0.472</v>
      </c>
      <c r="J15" s="16">
        <f>27550*(1-60%-额外增益统计!L74)/(27550/2+51164.55)</f>
        <v>0.169696279078004</v>
      </c>
      <c r="K15" s="16">
        <f>属性计算面板!B7</f>
        <v>0.3473</v>
      </c>
      <c r="L15" s="16">
        <v>0.2</v>
      </c>
      <c r="M15" s="16">
        <f>属性计算面板!B4</f>
        <v>0.4994</v>
      </c>
      <c r="N15" s="16"/>
      <c r="O15" s="16">
        <f>属性计算面板!B5</f>
        <v>2.0895</v>
      </c>
      <c r="P15" s="16"/>
      <c r="Q15">
        <f t="shared" si="2"/>
        <v>68171</v>
      </c>
      <c r="R15">
        <f>INT((B15+(C15+属性计算面板!B2*50%)*D15)*E15*(1+F15+G15)*(1+H15)*(1+I15)*(1-J15)*(1+K15)*(1-L15))</f>
        <v>93718</v>
      </c>
      <c r="S15" t="e">
        <f>INT((B15+(C15+属性计算面板!B2*50%)*D15)*E15*(1+F15+G15)*(1+H15)*(1+I15+11.81%*按提示输入属性!D62+10.59%*按提示输入属性!#REF!)*(1-J15)*(1+K15)*(1-L15))</f>
        <v>#VALUE!</v>
      </c>
      <c r="T15">
        <f t="shared" si="0"/>
        <v>142443</v>
      </c>
      <c r="U15">
        <f t="shared" si="3"/>
        <v>218700</v>
      </c>
      <c r="V15" t="e">
        <f t="shared" si="4"/>
        <v>#VALUE!</v>
      </c>
      <c r="W15">
        <f>INT((B15+(C15+属性计算面板!B2*25%)*D15)*E15*(1+F15+G15)*(1+H15)*(1+I15)*(1-J15)*(1+K15)*(1-L15))</f>
        <v>80945</v>
      </c>
      <c r="X15">
        <f t="shared" si="5"/>
        <v>188893</v>
      </c>
    </row>
    <row r="16" ht="14.25" spans="1:24">
      <c r="A16" s="8" t="s">
        <v>972</v>
      </c>
      <c r="B16">
        <f t="shared" si="6"/>
        <v>90</v>
      </c>
      <c r="C16">
        <f>属性计算面板!B3</f>
        <v>45792</v>
      </c>
      <c r="D16" s="12">
        <v>0.854167</v>
      </c>
      <c r="E16" s="10">
        <v>1</v>
      </c>
      <c r="F16" s="14"/>
      <c r="G16" s="15">
        <v>0.45</v>
      </c>
      <c r="H16" s="11">
        <v>0.2</v>
      </c>
      <c r="I16" s="16">
        <f>属性计算面板!B6</f>
        <v>0.472</v>
      </c>
      <c r="J16" s="16">
        <f>27550*(1-60%-额外增益统计!L74)/(27550/2+51164.55)</f>
        <v>0.169696279078004</v>
      </c>
      <c r="K16" s="16">
        <f>属性计算面板!B7</f>
        <v>0.3473</v>
      </c>
      <c r="L16" s="16">
        <v>0.2</v>
      </c>
      <c r="M16" s="16">
        <f>属性计算面板!B4</f>
        <v>0.4994</v>
      </c>
      <c r="N16" s="16"/>
      <c r="O16" s="16">
        <f>属性计算面板!B5</f>
        <v>2.0895</v>
      </c>
      <c r="P16" s="16"/>
      <c r="Q16">
        <f t="shared" si="2"/>
        <v>89862</v>
      </c>
      <c r="R16">
        <f>INT((B16+(C16+属性计算面板!B2*50%)*D16)*E16*(1+F16+G16)*(1+H16)*(1+I16)*(1-J16)*(1+K16)*(1-L16))</f>
        <v>123538</v>
      </c>
      <c r="S16" t="e">
        <f>INT((B16+(C16+属性计算面板!B2*50%)*D16)*E16*(1+F16+G16)*(1+H16)*(1+I16+11.81%*按提示输入属性!D62+10.59%*按提示输入属性!#REF!)*(1-J16)*(1+K16)*(1-L16))</f>
        <v>#VALUE!</v>
      </c>
      <c r="T16">
        <f t="shared" si="0"/>
        <v>187766</v>
      </c>
      <c r="U16">
        <f>INT(R16*(O16+P16+0.2441+按提示输入属性!D64*0.1953))</f>
        <v>312415</v>
      </c>
      <c r="V16" t="e">
        <f>INT(S16*(O16+P16+0.2441+按提示输入属性!D64*0.1953))</f>
        <v>#VALUE!</v>
      </c>
      <c r="W16">
        <f>INT((B16+(C16+属性计算面板!B2*25%)*D16)*E16*(1+F16+G16)*(1+H16)*(1+I16)*(1-J16)*(1+K16)*(1-L16))</f>
        <v>106700</v>
      </c>
      <c r="X16">
        <f t="shared" si="5"/>
        <v>248995</v>
      </c>
    </row>
    <row r="17" ht="14.25" spans="1:24">
      <c r="A17" s="8" t="s">
        <v>973</v>
      </c>
      <c r="B17">
        <f t="shared" si="6"/>
        <v>90</v>
      </c>
      <c r="C17">
        <f>属性计算面板!B3</f>
        <v>45792</v>
      </c>
      <c r="D17" s="12">
        <v>0.854167</v>
      </c>
      <c r="E17" s="10">
        <v>1</v>
      </c>
      <c r="F17" s="14"/>
      <c r="G17" s="14">
        <v>0.8</v>
      </c>
      <c r="H17" s="11">
        <v>0.2</v>
      </c>
      <c r="I17" s="16">
        <f>属性计算面板!B6</f>
        <v>0.472</v>
      </c>
      <c r="J17" s="16">
        <f>27550*(1-60%-额外增益统计!L74)/(27550/2+51164.55)</f>
        <v>0.169696279078004</v>
      </c>
      <c r="K17" s="16">
        <f>属性计算面板!B7</f>
        <v>0.3473</v>
      </c>
      <c r="L17" s="16">
        <v>0.2</v>
      </c>
      <c r="M17" s="16">
        <f>属性计算面板!B4</f>
        <v>0.4994</v>
      </c>
      <c r="N17" s="16"/>
      <c r="O17" s="16">
        <f>属性计算面板!B5</f>
        <v>2.0895</v>
      </c>
      <c r="P17" s="16"/>
      <c r="Q17">
        <f t="shared" si="2"/>
        <v>111553</v>
      </c>
      <c r="R17">
        <f>INT((B17+(C17+属性计算面板!B2*50%)*D17)*E17*(1+F17+G17)*(1+H17)*(1+I17)*(1-J17)*(1+K17)*(1-L17))</f>
        <v>153358</v>
      </c>
      <c r="S17" t="e">
        <f>INT((B17+(C17+属性计算面板!B2*50%)*D17)*E17*(1+F17+G17)*(1+H17)*(1+I17+11.81%*按提示输入属性!D62+10.59%*按提示输入属性!#REF!)*(1-J17)*(1+K17)*(1-L17))</f>
        <v>#VALUE!</v>
      </c>
      <c r="T17">
        <f t="shared" si="0"/>
        <v>233089</v>
      </c>
      <c r="U17">
        <f>INT(R17*(O17+P17+0.2441+按提示输入属性!D64*0.1953))</f>
        <v>387827</v>
      </c>
      <c r="V17" t="e">
        <f>INT(S17*(O17+P17+0.2441+按提示输入属性!D64*0.1953))</f>
        <v>#VALUE!</v>
      </c>
      <c r="W17">
        <f>INT((B17+(C17+属性计算面板!B2*25%)*D17)*E17*(1+F17+G17)*(1+H17)*(1+I17)*(1-J17)*(1+K17)*(1-L17))</f>
        <v>132455</v>
      </c>
      <c r="X17">
        <f t="shared" si="5"/>
        <v>309096</v>
      </c>
    </row>
    <row r="18" ht="14.25" spans="1:24">
      <c r="A18" s="8" t="s">
        <v>974</v>
      </c>
      <c r="B18">
        <f t="shared" si="6"/>
        <v>90</v>
      </c>
      <c r="C18">
        <f>属性计算面板!B3</f>
        <v>45792</v>
      </c>
      <c r="D18" s="12">
        <v>0.854167</v>
      </c>
      <c r="E18" s="10">
        <v>1</v>
      </c>
      <c r="F18" s="14"/>
      <c r="G18" s="14">
        <v>1.15</v>
      </c>
      <c r="H18" s="11">
        <v>0.2</v>
      </c>
      <c r="I18" s="16">
        <f>属性计算面板!B6</f>
        <v>0.472</v>
      </c>
      <c r="J18" s="16">
        <f>27550*(1-60%-额外增益统计!L74)/(27550/2+51164.55)</f>
        <v>0.169696279078004</v>
      </c>
      <c r="K18" s="16">
        <f>属性计算面板!B7</f>
        <v>0.3473</v>
      </c>
      <c r="L18" s="16">
        <v>0.2</v>
      </c>
      <c r="M18" s="16">
        <f>属性计算面板!B4</f>
        <v>0.4994</v>
      </c>
      <c r="N18" s="16"/>
      <c r="O18" s="16">
        <f>属性计算面板!B5</f>
        <v>2.0895</v>
      </c>
      <c r="P18" s="16"/>
      <c r="Q18">
        <f t="shared" si="2"/>
        <v>133244</v>
      </c>
      <c r="R18">
        <f>INT((B18+(C18+属性计算面板!B2*50%)*D18)*E18*(1+F18+G18)*(1+H18)*(1+I18)*(1-J18)*(1+K18)*(1-L18))</f>
        <v>183177</v>
      </c>
      <c r="S18" t="e">
        <f>INT((B18+(C18+属性计算面板!B2*50%)*D18)*E18*(1+F18+G18)*(1+H18)*(1+I18+11.81%*按提示输入属性!D62+10.59%*按提示输入属性!#REF!)*(1-J18)*(1+K18)*(1-L18))</f>
        <v>#VALUE!</v>
      </c>
      <c r="T18">
        <f t="shared" si="0"/>
        <v>278413</v>
      </c>
      <c r="U18">
        <f>INT(R18*(O18+P18+0.2441+按提示输入属性!D64*0.1953))</f>
        <v>463236</v>
      </c>
      <c r="V18" t="e">
        <f>INT(S18*(O18+P18+0.2441+按提示输入属性!D64*0.1953))</f>
        <v>#VALUE!</v>
      </c>
      <c r="W18">
        <f>INT((B18+(C18+属性计算面板!B2*25%)*D18)*E18*(1+F18+G18)*(1+H18)*(1+I18)*(1-J18)*(1+K18)*(1-L18))</f>
        <v>158211</v>
      </c>
      <c r="X18">
        <f t="shared" si="5"/>
        <v>369201</v>
      </c>
    </row>
    <row r="19" ht="14.25" spans="1:24">
      <c r="A19" s="8" t="s">
        <v>975</v>
      </c>
      <c r="B19">
        <f t="shared" si="6"/>
        <v>90</v>
      </c>
      <c r="C19">
        <f>属性计算面板!B3</f>
        <v>45792</v>
      </c>
      <c r="D19" s="12">
        <v>0.854167</v>
      </c>
      <c r="E19" s="10">
        <v>1</v>
      </c>
      <c r="F19" s="14"/>
      <c r="G19" s="14">
        <v>1.4</v>
      </c>
      <c r="H19" s="11">
        <v>0.2</v>
      </c>
      <c r="I19" s="16">
        <f>属性计算面板!B6</f>
        <v>0.472</v>
      </c>
      <c r="J19" s="16">
        <f>27550*(1-60%-额外增益统计!L74)/(27550/2+51164.55)</f>
        <v>0.169696279078004</v>
      </c>
      <c r="K19" s="16">
        <f>属性计算面板!B7</f>
        <v>0.3473</v>
      </c>
      <c r="L19" s="16">
        <v>0.2</v>
      </c>
      <c r="M19" s="16">
        <f>属性计算面板!B4</f>
        <v>0.4994</v>
      </c>
      <c r="N19" s="16"/>
      <c r="O19" s="16">
        <f>属性计算面板!B5</f>
        <v>2.0895</v>
      </c>
      <c r="P19" s="16"/>
      <c r="Q19">
        <f t="shared" si="2"/>
        <v>148738</v>
      </c>
      <c r="R19">
        <f>INT((B19+(C19+属性计算面板!B2*50%)*D19)*E19*(1+F19+G19)*(1+H19)*(1+I19)*(1-J19)*(1+K19)*(1-L19))</f>
        <v>204477</v>
      </c>
      <c r="S19" t="e">
        <f>INT((B19+(C19+属性计算面板!B2*50%)*D19)*E19*(1+F19+G19)*(1+H19)*(1+I19+11.81%*按提示输入属性!D62+10.59%*按提示输入属性!#REF!)*(1-J19)*(1+K19)*(1-L19))</f>
        <v>#VALUE!</v>
      </c>
      <c r="T19">
        <f t="shared" si="0"/>
        <v>310788</v>
      </c>
      <c r="U19">
        <f>INT(R19*(O19+P19+0.2441+按提示输入属性!D64*0.1953))</f>
        <v>517101</v>
      </c>
      <c r="V19" t="e">
        <f>INT(S19*(O19+P19+0.2441+按提示输入属性!D64*0.1953))</f>
        <v>#VALUE!</v>
      </c>
      <c r="W19">
        <f>INT((B19+(C19+属性计算面板!B2*25%)*D19)*E19*(1+F19+G19)*(1+H19)*(1+I19)*(1-J19)*(1+K19)*(1-L19))</f>
        <v>176607</v>
      </c>
      <c r="X19">
        <f t="shared" si="5"/>
        <v>412130</v>
      </c>
    </row>
    <row r="20" ht="14.25" spans="1:24">
      <c r="A20" s="8" t="s">
        <v>976</v>
      </c>
      <c r="B20">
        <v>0</v>
      </c>
      <c r="C20">
        <f>属性计算面板!B8</f>
        <v>21804</v>
      </c>
      <c r="D20" s="9">
        <v>5.5406</v>
      </c>
      <c r="E20" s="10">
        <v>1</v>
      </c>
      <c r="F20" s="11"/>
      <c r="G20" s="11"/>
      <c r="H20" s="11">
        <v>0.2</v>
      </c>
      <c r="I20" s="16">
        <f>属性计算面板!B6</f>
        <v>0.472</v>
      </c>
      <c r="J20" s="16">
        <f>27550*(1-60%-额外增益统计!L74)/(27550/2+51164.55)</f>
        <v>0.169696279078004</v>
      </c>
      <c r="K20" s="16">
        <f>属性计算面板!B7</f>
        <v>0.3473</v>
      </c>
      <c r="L20" s="16">
        <v>0.2</v>
      </c>
      <c r="M20" s="16">
        <f>属性计算面板!B4</f>
        <v>0.4994</v>
      </c>
      <c r="N20" s="16">
        <v>0</v>
      </c>
      <c r="O20" s="16">
        <f>属性计算面板!B5</f>
        <v>2.0895</v>
      </c>
      <c r="P20" s="16"/>
      <c r="Q20">
        <f t="shared" si="2"/>
        <v>190973</v>
      </c>
      <c r="R20">
        <f t="shared" ref="R20:R23" si="7">INT((B20+(C20)*D20)*E20*(1+F20+G20)*(1+H20)*(1+I20)*(1-J20)*(1+K20)*(1-L20))</f>
        <v>190973</v>
      </c>
      <c r="S20" t="e">
        <f>INT((B20+(C20)*D20)*E20*(1+F20+G20)*(1+H20)*(1+I20+11.81%*按提示输入属性!D62+10.59%*按提示输入属性!#REF!)*(1-J20)*(1+K20)*(1-L20))</f>
        <v>#VALUE!</v>
      </c>
      <c r="T20">
        <f t="shared" si="0"/>
        <v>399038</v>
      </c>
      <c r="U20">
        <f t="shared" ref="U20:U31" si="8">INT(R20*(O20+P20+0.2441))</f>
        <v>445654</v>
      </c>
      <c r="V20" t="e">
        <f t="shared" ref="V20:V31" si="9">INT(S20*(O20+P20+0.2441))</f>
        <v>#VALUE!</v>
      </c>
      <c r="W20">
        <f t="shared" ref="W20:W23" si="10">INT((B20+(C20)*D20)*E20*(1+F20+G20)*(1+H20)*(1+I20)*(1-J20)*(1+K20)*(1-L20))</f>
        <v>190973</v>
      </c>
      <c r="X20">
        <f t="shared" si="5"/>
        <v>445654</v>
      </c>
    </row>
    <row r="21" ht="14.25" spans="1:24">
      <c r="A21" s="8" t="s">
        <v>1099</v>
      </c>
      <c r="B21">
        <v>0</v>
      </c>
      <c r="C21">
        <f>属性计算面板!B8</f>
        <v>21804</v>
      </c>
      <c r="D21" s="9">
        <v>5.5406</v>
      </c>
      <c r="E21" s="10">
        <v>1</v>
      </c>
      <c r="F21" s="11"/>
      <c r="G21" s="11"/>
      <c r="H21" s="11">
        <v>0.2</v>
      </c>
      <c r="I21" s="16">
        <f>属性计算面板!B6</f>
        <v>0.472</v>
      </c>
      <c r="J21" s="16">
        <f>27550*(1-60%-额外增益统计!L74)/(27550/2+51164.55)</f>
        <v>0.169696279078004</v>
      </c>
      <c r="K21" s="16">
        <f>属性计算面板!B7</f>
        <v>0.3473</v>
      </c>
      <c r="L21" s="16">
        <v>0.2</v>
      </c>
      <c r="M21" s="16">
        <f>属性计算面板!B4</f>
        <v>0.4994</v>
      </c>
      <c r="N21" s="16"/>
      <c r="O21" s="16">
        <f>属性计算面板!B5</f>
        <v>2.0895</v>
      </c>
      <c r="P21" s="16">
        <v>0.1953</v>
      </c>
      <c r="Q21">
        <f t="shared" si="2"/>
        <v>190973</v>
      </c>
      <c r="R21">
        <f t="shared" si="7"/>
        <v>190973</v>
      </c>
      <c r="S21" t="e">
        <f>INT((B21+(C21)*D21)*E21*(1+F21+G21)*(1+H21)*(1+I21+11.81%*按提示输入属性!D62+10.59%*按提示输入属性!#REF!)*(1-J21)*(1+K21)*(1-L21))</f>
        <v>#VALUE!</v>
      </c>
      <c r="T21">
        <f t="shared" si="0"/>
        <v>436335</v>
      </c>
      <c r="U21" t="e">
        <f>INT(R21*(O21+P21+0.2441+按提示输入属性!#REF!*0.1953))</f>
        <v>#REF!</v>
      </c>
      <c r="V21" t="e">
        <f>INT(S21*(O21+P21+0.2441+按提示输入属性!#REF!*0.1953))</f>
        <v>#VALUE!</v>
      </c>
      <c r="W21">
        <f t="shared" si="10"/>
        <v>190973</v>
      </c>
      <c r="X21">
        <f t="shared" si="5"/>
        <v>482951</v>
      </c>
    </row>
    <row r="22" ht="14.25" spans="1:24">
      <c r="A22" s="8" t="s">
        <v>977</v>
      </c>
      <c r="B22">
        <v>0</v>
      </c>
      <c r="C22">
        <f>属性计算面板!B8</f>
        <v>21804</v>
      </c>
      <c r="D22" s="9">
        <v>3.9576</v>
      </c>
      <c r="E22" s="10">
        <v>1</v>
      </c>
      <c r="F22" s="11"/>
      <c r="G22" s="11"/>
      <c r="H22" s="11">
        <v>0.2</v>
      </c>
      <c r="I22" s="16">
        <f>属性计算面板!B6</f>
        <v>0.472</v>
      </c>
      <c r="J22" s="16">
        <f>27550*(1-60%-额外增益统计!L74)/(27550/2+51164.55)</f>
        <v>0.169696279078004</v>
      </c>
      <c r="K22" s="16">
        <f>属性计算面板!B7</f>
        <v>0.3473</v>
      </c>
      <c r="L22" s="16">
        <v>0.2</v>
      </c>
      <c r="M22" s="16">
        <f>属性计算面板!B4</f>
        <v>0.4994</v>
      </c>
      <c r="N22" s="16">
        <v>0</v>
      </c>
      <c r="O22" s="16">
        <f>属性计算面板!B5</f>
        <v>2.0895</v>
      </c>
      <c r="P22" s="16"/>
      <c r="Q22">
        <f t="shared" si="2"/>
        <v>136410</v>
      </c>
      <c r="R22">
        <f t="shared" si="7"/>
        <v>136410</v>
      </c>
      <c r="S22" t="e">
        <f>INT((B22+(C22)*D22)*E22*(1+F22+G22)*(1+H22)*(1+I22+11.81%*按提示输入属性!D62+10.59%*按提示输入属性!#REF!)*(1-J22)*(1+K22)*(1-L22))</f>
        <v>#VALUE!</v>
      </c>
      <c r="T22">
        <f t="shared" si="0"/>
        <v>285028</v>
      </c>
      <c r="U22">
        <f t="shared" si="8"/>
        <v>318326</v>
      </c>
      <c r="V22" t="e">
        <f t="shared" si="9"/>
        <v>#VALUE!</v>
      </c>
      <c r="W22">
        <f t="shared" si="10"/>
        <v>136410</v>
      </c>
      <c r="X22">
        <f t="shared" si="5"/>
        <v>318326</v>
      </c>
    </row>
    <row r="23" ht="14.25" spans="1:24">
      <c r="A23" s="8" t="s">
        <v>978</v>
      </c>
      <c r="B23">
        <v>0</v>
      </c>
      <c r="C23">
        <f>属性计算面板!B8</f>
        <v>21804</v>
      </c>
      <c r="D23" s="9">
        <v>5.5406</v>
      </c>
      <c r="E23" s="10">
        <v>1</v>
      </c>
      <c r="F23" s="14"/>
      <c r="G23" s="14"/>
      <c r="H23" s="11">
        <v>0.2</v>
      </c>
      <c r="I23" s="16">
        <f>属性计算面板!B6</f>
        <v>0.472</v>
      </c>
      <c r="J23" s="16">
        <f>27550*(1-60%-额外增益统计!L74)/(27550/2+51164.55)</f>
        <v>0.169696279078004</v>
      </c>
      <c r="K23" s="16">
        <f>属性计算面板!B7</f>
        <v>0.3473</v>
      </c>
      <c r="L23" s="16">
        <v>0.2</v>
      </c>
      <c r="M23" s="16">
        <f>属性计算面板!B4</f>
        <v>0.4994</v>
      </c>
      <c r="N23" s="16">
        <v>0</v>
      </c>
      <c r="O23" s="16">
        <f>属性计算面板!B5</f>
        <v>2.0895</v>
      </c>
      <c r="P23" s="16"/>
      <c r="Q23">
        <f t="shared" si="2"/>
        <v>190973</v>
      </c>
      <c r="R23">
        <f t="shared" si="7"/>
        <v>190973</v>
      </c>
      <c r="S23" t="e">
        <f>INT((B23+(C23)*D23)*E23*(1+F23+G23)*(1+H23)*(1+I23+11.81%*按提示输入属性!D62+10.59%*按提示输入属性!#REF!)*(1-J23)*(1+K23)*(1-L23))</f>
        <v>#VALUE!</v>
      </c>
      <c r="T23">
        <f t="shared" si="0"/>
        <v>399038</v>
      </c>
      <c r="U23">
        <f t="shared" si="8"/>
        <v>445654</v>
      </c>
      <c r="V23" t="e">
        <f t="shared" si="9"/>
        <v>#VALUE!</v>
      </c>
      <c r="W23">
        <f t="shared" si="10"/>
        <v>190973</v>
      </c>
      <c r="X23">
        <f t="shared" si="5"/>
        <v>445654</v>
      </c>
    </row>
    <row r="24" ht="14.25" spans="1:24">
      <c r="A24" s="8" t="s">
        <v>979</v>
      </c>
      <c r="B24">
        <f>INT(78+7/2)</f>
        <v>81</v>
      </c>
      <c r="C24">
        <f>属性计算面板!B3</f>
        <v>45792</v>
      </c>
      <c r="D24" s="12">
        <v>0.08</v>
      </c>
      <c r="E24" s="10">
        <v>1</v>
      </c>
      <c r="F24" s="14"/>
      <c r="G24" s="14"/>
      <c r="H24" s="11">
        <v>0.2</v>
      </c>
      <c r="I24" s="16">
        <f>属性计算面板!B6</f>
        <v>0.472</v>
      </c>
      <c r="J24" s="16">
        <f>27550*(1-60%-额外增益统计!L74)/(27550/2+51164.55)</f>
        <v>0.169696279078004</v>
      </c>
      <c r="K24" s="16">
        <f>属性计算面板!B7</f>
        <v>0.3473</v>
      </c>
      <c r="L24" s="16">
        <v>0.2</v>
      </c>
      <c r="M24" s="16">
        <f>属性计算面板!B4</f>
        <v>0.4994</v>
      </c>
      <c r="N24" s="16"/>
      <c r="O24" s="16">
        <f>属性计算面板!B5</f>
        <v>2.0895</v>
      </c>
      <c r="P24" s="16"/>
      <c r="Q24">
        <f t="shared" si="2"/>
        <v>5919</v>
      </c>
      <c r="R24">
        <f>INT((B24+(C24+属性计算面板!B2*50%)*D24)*E24*(1+F24+G24)*(1+H24)*(1+I24)*(1-J24)*(1+K24)*(1-L24))</f>
        <v>8094</v>
      </c>
      <c r="S24" t="e">
        <f>INT((B24+(C24+属性计算面板!B2*50%)*D24)*E24*(1+F24+G24)*(1+H24)*(1+I24+11.81%*按提示输入属性!D62+10.59%*按提示输入属性!#REF!)*(1-J24)*(1+K24)*(1-L24))</f>
        <v>#VALUE!</v>
      </c>
      <c r="T24">
        <f t="shared" si="0"/>
        <v>12367</v>
      </c>
      <c r="U24">
        <f t="shared" si="8"/>
        <v>18888</v>
      </c>
      <c r="V24" t="e">
        <f t="shared" si="9"/>
        <v>#VALUE!</v>
      </c>
      <c r="W24">
        <f>INT((B24+(C24+属性计算面板!B2*25%)*D24)*E24*(1+F24+G24)*(1+H24)*(1+I24)*(1-J24)*(1+K24)*(1-L24))</f>
        <v>7006</v>
      </c>
      <c r="X24">
        <f t="shared" si="5"/>
        <v>16349</v>
      </c>
    </row>
    <row r="25" ht="14.25" spans="1:24">
      <c r="A25" s="8" t="s">
        <v>364</v>
      </c>
      <c r="B25">
        <f>INT(33+5/2)</f>
        <v>35</v>
      </c>
      <c r="C25">
        <f>属性计算面板!B3</f>
        <v>45792</v>
      </c>
      <c r="D25" s="12">
        <v>1.625</v>
      </c>
      <c r="E25" s="10">
        <v>1</v>
      </c>
      <c r="F25" s="14"/>
      <c r="G25" s="14"/>
      <c r="H25" s="11">
        <v>0.2</v>
      </c>
      <c r="I25" s="16">
        <f>属性计算面板!B6</f>
        <v>0.472</v>
      </c>
      <c r="J25" s="16">
        <f>27550*(1-60%-额外增益统计!L74)/(27550/2+51164.55)</f>
        <v>0.169696279078004</v>
      </c>
      <c r="K25" s="16">
        <f>属性计算面板!B7</f>
        <v>0.3473</v>
      </c>
      <c r="L25" s="16">
        <v>0.2</v>
      </c>
      <c r="M25" s="16">
        <f>属性计算面板!B4</f>
        <v>0.4994</v>
      </c>
      <c r="N25" s="16"/>
      <c r="O25" s="16">
        <f>属性计算面板!B5</f>
        <v>2.0895</v>
      </c>
      <c r="P25" s="16"/>
      <c r="Q25">
        <f t="shared" si="2"/>
        <v>117686</v>
      </c>
      <c r="R25">
        <f>INT((B25+(C25+属性计算面板!B2*50%)*D25)*E25*(1+F25+G25)*(1+H25)*(1+I25)*(1-J25)*(1+K25)*(1-L25))</f>
        <v>161870</v>
      </c>
      <c r="S25" t="e">
        <f>INT((B25+(C25+属性计算面板!B2*50%)*D25)*E25*(1+F25+G25)*(1+H25)*(1+I25+11.81%*按提示输入属性!D62+10.59%*按提示输入属性!#REF!)*(1-J25)*(1+K25)*(1-L25))</f>
        <v>#VALUE!</v>
      </c>
      <c r="T25">
        <f t="shared" si="0"/>
        <v>245904</v>
      </c>
      <c r="U25">
        <f t="shared" si="8"/>
        <v>377739</v>
      </c>
      <c r="V25" t="e">
        <f t="shared" si="9"/>
        <v>#VALUE!</v>
      </c>
      <c r="W25">
        <f>INT((B25+(C25+属性计算面板!B2*25%)*D25)*E25*(1+F25+G25)*(1+H25)*(1+I25)*(1-J25)*(1+K25)*(1-L25))</f>
        <v>139778</v>
      </c>
      <c r="X25">
        <f t="shared" si="5"/>
        <v>326185</v>
      </c>
    </row>
    <row r="26" ht="14.25" spans="1:24">
      <c r="A26" s="8" t="s">
        <v>980</v>
      </c>
      <c r="B26">
        <f>INT(40+17/2)</f>
        <v>48</v>
      </c>
      <c r="C26">
        <f>属性计算面板!B3</f>
        <v>45792</v>
      </c>
      <c r="D26">
        <v>0.260417</v>
      </c>
      <c r="E26" s="10">
        <v>1</v>
      </c>
      <c r="F26" s="16"/>
      <c r="G26" s="16"/>
      <c r="H26" s="11">
        <v>0.2</v>
      </c>
      <c r="I26" s="16">
        <f>属性计算面板!B6</f>
        <v>0.472</v>
      </c>
      <c r="J26" s="16">
        <f>27550*(1-60%-额外增益统计!L74)/(27550/2+51164.55)</f>
        <v>0.169696279078004</v>
      </c>
      <c r="K26" s="16">
        <f>属性计算面板!B7</f>
        <v>0.3473</v>
      </c>
      <c r="L26" s="16">
        <v>0.2</v>
      </c>
      <c r="M26" s="16">
        <f>属性计算面板!B4</f>
        <v>0.4994</v>
      </c>
      <c r="N26" s="16"/>
      <c r="O26" s="16">
        <f>属性计算面板!B5</f>
        <v>2.0895</v>
      </c>
      <c r="P26" s="16"/>
      <c r="Q26">
        <f t="shared" si="2"/>
        <v>18927</v>
      </c>
      <c r="R26">
        <f>INT((B26+(C26+属性计算面板!B2*50%)*D26)*E26*(1+F26+G26)*(1+H26)*(1+I26)*(1-J26)*(1+K26)*(1-L26))</f>
        <v>26007</v>
      </c>
      <c r="S26" t="e">
        <f>INT((B26+(C26+属性计算面板!B2*50%)*D26)*E26*(1+F26+G26)*(1+H26)*(1+I26+11.81%*按提示输入属性!D62+10.59%*按提示输入属性!#REF!)*(1-J26)*(1+K26)*(1-L26))</f>
        <v>#VALUE!</v>
      </c>
      <c r="T26">
        <f t="shared" si="0"/>
        <v>39547</v>
      </c>
      <c r="U26">
        <f t="shared" si="8"/>
        <v>60689</v>
      </c>
      <c r="V26" t="e">
        <f t="shared" si="9"/>
        <v>#VALUE!</v>
      </c>
      <c r="W26">
        <f>INT((B26+(C26+属性计算面板!B2*25%)*D26)*E26*(1+F26+G26)*(1+H26)*(1+I26)*(1-J26)*(1+K26)*(1-L26))</f>
        <v>22467</v>
      </c>
      <c r="X26">
        <f t="shared" si="5"/>
        <v>52428</v>
      </c>
    </row>
    <row r="27" ht="14.25" spans="1:24">
      <c r="A27" s="8" t="s">
        <v>981</v>
      </c>
      <c r="B27">
        <f>INT(40+17/2)</f>
        <v>48</v>
      </c>
      <c r="C27">
        <f>属性计算面板!B3</f>
        <v>45792</v>
      </c>
      <c r="D27">
        <v>0.46875</v>
      </c>
      <c r="E27" s="10">
        <v>1</v>
      </c>
      <c r="F27" s="16"/>
      <c r="G27" s="16"/>
      <c r="H27" s="11">
        <v>0.2</v>
      </c>
      <c r="I27" s="16">
        <f>属性计算面板!B6</f>
        <v>0.472</v>
      </c>
      <c r="J27" s="16">
        <f>27550*(1-60%-额外增益统计!L74)/(27550/2+51164.55)</f>
        <v>0.169696279078004</v>
      </c>
      <c r="K27" s="16">
        <f>属性计算面板!B7</f>
        <v>0.3473</v>
      </c>
      <c r="L27" s="16">
        <v>0.2</v>
      </c>
      <c r="M27" s="16">
        <f>属性计算面板!B4</f>
        <v>0.4994</v>
      </c>
      <c r="N27" s="16"/>
      <c r="O27" s="16">
        <f>属性计算面板!B5</f>
        <v>2.0895</v>
      </c>
      <c r="P27" s="16"/>
      <c r="Q27">
        <f t="shared" si="2"/>
        <v>34008</v>
      </c>
      <c r="R27">
        <f>INT((B27+(C27+属性计算面板!B2*50%)*D27)*E27*(1+F27+G27)*(1+H27)*(1+I27)*(1-J27)*(1+K27)*(1-L27))</f>
        <v>46753</v>
      </c>
      <c r="S27" t="e">
        <f>INT((B27+(C27+属性计算面板!B2*50%)*D27)*E27*(1+F27+G27)*(1+H27)*(1+I27+11.81%*按提示输入属性!D62+10.59%*按提示输入属性!#REF!)*(1-J27)*(1+K27)*(1-L27))</f>
        <v>#VALUE!</v>
      </c>
      <c r="T27">
        <f t="shared" si="0"/>
        <v>71059</v>
      </c>
      <c r="U27">
        <f t="shared" si="8"/>
        <v>109102</v>
      </c>
      <c r="V27" t="e">
        <f t="shared" si="9"/>
        <v>#VALUE!</v>
      </c>
      <c r="W27">
        <f>INT((B27+(C27+属性计算面板!B2*25%)*D27)*E27*(1+F27+G27)*(1+H27)*(1+I27)*(1-J27)*(1+K27)*(1-L27))</f>
        <v>40380</v>
      </c>
      <c r="X27">
        <f t="shared" si="5"/>
        <v>94230</v>
      </c>
    </row>
    <row r="28" ht="14.25" spans="1:24">
      <c r="A28" t="s">
        <v>72</v>
      </c>
      <c r="B28">
        <v>550865</v>
      </c>
      <c r="C28">
        <v>0</v>
      </c>
      <c r="D28">
        <v>1</v>
      </c>
      <c r="E28" s="10">
        <v>1</v>
      </c>
      <c r="H28" s="11">
        <v>0.2</v>
      </c>
      <c r="I28" s="16">
        <f>属性计算面板!B6</f>
        <v>0.472</v>
      </c>
      <c r="J28">
        <f>27550*(1-60%-额外增益统计!L74)/(27550/2+51164.55)</f>
        <v>0.169696279078004</v>
      </c>
      <c r="K28">
        <f>属性计算面板!B7</f>
        <v>0.3473</v>
      </c>
      <c r="L28" s="16">
        <v>0.2</v>
      </c>
      <c r="M28" s="16">
        <f>属性计算面板!B4</f>
        <v>0.4994</v>
      </c>
      <c r="N28" s="16"/>
      <c r="O28">
        <f>属性计算面板!B5</f>
        <v>2.0895</v>
      </c>
      <c r="Q28">
        <f t="shared" si="2"/>
        <v>870814</v>
      </c>
      <c r="R28">
        <f>INT((B28+(C28+属性计算面板!B2*50%)*D28)*E28*(1+F28+G28)*(1+H28)*(1+I28)*(1-J28)*(1+K28)*(1-L28))</f>
        <v>898004</v>
      </c>
      <c r="S28" t="e">
        <f>INT((B28+(C28+属性计算面板!B2*50%)*D28)*E28*(1+F28+G28)*(1+H28)*(1+I28+11.81%*按提示输入属性!D62+10.59%*按提示输入属性!#REF!)*(1-J28)*(1+K28)*(1-L28))</f>
        <v>#VALUE!</v>
      </c>
      <c r="T28">
        <f t="shared" si="0"/>
        <v>1819565</v>
      </c>
      <c r="U28">
        <f t="shared" si="8"/>
        <v>2095582</v>
      </c>
      <c r="V28" t="e">
        <f t="shared" si="9"/>
        <v>#VALUE!</v>
      </c>
      <c r="W28">
        <f>INT((B28+(C28+属性计算面板!B2*25%)*D28)*E28*(1+F28+G28)*(1+H28)*(1+I28)*(1-J28)*(1+K28)*(1-L28))</f>
        <v>884409</v>
      </c>
      <c r="X28">
        <f t="shared" si="5"/>
        <v>2063856</v>
      </c>
    </row>
    <row r="29" ht="14.25" spans="1:24">
      <c r="A29" t="s">
        <v>70</v>
      </c>
      <c r="B29">
        <v>568199</v>
      </c>
      <c r="C29">
        <v>0</v>
      </c>
      <c r="D29">
        <v>1</v>
      </c>
      <c r="E29" s="10">
        <v>1</v>
      </c>
      <c r="H29" s="11">
        <v>0.2</v>
      </c>
      <c r="I29" s="16">
        <f>属性计算面板!B6</f>
        <v>0.472</v>
      </c>
      <c r="J29">
        <f>27550*(1-60%-额外增益统计!L74)/(27550/2+51164.55)</f>
        <v>0.169696279078004</v>
      </c>
      <c r="K29">
        <f>属性计算面板!B7</f>
        <v>0.3473</v>
      </c>
      <c r="L29" s="16">
        <v>0.2</v>
      </c>
      <c r="M29" s="16">
        <v>1</v>
      </c>
      <c r="N29" s="16"/>
      <c r="O29">
        <f>属性计算面板!B5</f>
        <v>2.0895</v>
      </c>
      <c r="Q29">
        <f t="shared" si="2"/>
        <v>898216</v>
      </c>
      <c r="R29">
        <f>INT((B29+(C29+属性计算面板!B2*50%)*D29)*E29*(1+F29+G29)*(1+H29)*(1+I29)*(1-J29)*(1+K29)*(1-L29))</f>
        <v>925406</v>
      </c>
      <c r="S29" t="e">
        <f>INT((B29+(C29+属性计算面板!B2*50%)*D29)*E29*(1+F29+G29)*(1+H29)*(1+I29+11.81%*按提示输入属性!D62+10.59%*按提示输入属性!#REF!)*(1-J29)*(1+K29)*(1-L29))</f>
        <v>#VALUE!</v>
      </c>
      <c r="T29">
        <f t="shared" si="0"/>
        <v>1876822</v>
      </c>
      <c r="U29">
        <f t="shared" si="8"/>
        <v>2159527</v>
      </c>
      <c r="V29" t="e">
        <f t="shared" si="9"/>
        <v>#VALUE!</v>
      </c>
      <c r="W29">
        <f>INT((B29+(C29+属性计算面板!B2*25%)*D29)*E29*(1+F29+G29)*(1+H29)*(1+I29)*(1-J29)*(1+K29)*(1-L29))</f>
        <v>911811</v>
      </c>
      <c r="X29">
        <f t="shared" si="5"/>
        <v>2127802</v>
      </c>
    </row>
    <row r="30" ht="14.25" spans="1:24">
      <c r="A30" t="s">
        <v>982</v>
      </c>
      <c r="B30">
        <v>141299</v>
      </c>
      <c r="C30">
        <v>0</v>
      </c>
      <c r="D30">
        <v>1</v>
      </c>
      <c r="E30" s="8">
        <v>1</v>
      </c>
      <c r="H30" s="11">
        <v>0.2</v>
      </c>
      <c r="I30" s="16">
        <f>属性计算面板!B6</f>
        <v>0.472</v>
      </c>
      <c r="J30">
        <f>27550*(1-60%-额外增益统计!L74)/(27550/2+51164.55)</f>
        <v>0.169696279078004</v>
      </c>
      <c r="K30">
        <f>属性计算面板!B7</f>
        <v>0.3473</v>
      </c>
      <c r="L30" s="16">
        <v>0.2</v>
      </c>
      <c r="M30" s="16">
        <f>属性计算面板!B4</f>
        <v>0.4994</v>
      </c>
      <c r="N30" s="16"/>
      <c r="O30">
        <f>属性计算面板!B5</f>
        <v>2.0895</v>
      </c>
      <c r="Q30">
        <f t="shared" si="2"/>
        <v>223367</v>
      </c>
      <c r="R30">
        <f>INT((B30+(C30+属性计算面板!B2*50%)*D30)*E30*(1+F30+G30)*(1+H30)*(1+I30)*(1-J30)*(1+K30)*(1-L30))</f>
        <v>250557</v>
      </c>
      <c r="S30" t="e">
        <f>INT((B30+(C30+属性计算面板!B2*50%)*D30)*E30*(1+F30+G30)*(1+H30)*(1+I30+11.81%*按提示输入属性!D62+10.59%*按提示输入属性!#REF!)*(1-J30)*(1+K30)*(1-L30))</f>
        <v>#VALUE!</v>
      </c>
      <c r="T30">
        <f t="shared" si="0"/>
        <v>466725</v>
      </c>
      <c r="U30">
        <f t="shared" si="8"/>
        <v>584699</v>
      </c>
      <c r="V30" t="e">
        <f t="shared" si="9"/>
        <v>#VALUE!</v>
      </c>
      <c r="W30">
        <f>INT((B30+(C30+属性计算面板!B2*25%)*D30)*E30*(1+F30+G30)*(1+H30)*(1+I30)*(1-J30)*(1+K30)*(1-L30))</f>
        <v>236962</v>
      </c>
      <c r="X30">
        <f t="shared" si="5"/>
        <v>552974</v>
      </c>
    </row>
    <row r="31" spans="1:24">
      <c r="A31" t="s">
        <v>983</v>
      </c>
      <c r="B31">
        <v>50</v>
      </c>
      <c r="C31">
        <f>属性计算面板!B3</f>
        <v>45792</v>
      </c>
      <c r="D31">
        <v>0.5078125</v>
      </c>
      <c r="E31" s="8">
        <v>1</v>
      </c>
      <c r="H31">
        <v>0.2</v>
      </c>
      <c r="I31">
        <f>属性计算面板!B6</f>
        <v>0.472</v>
      </c>
      <c r="J31">
        <f>27550*(1-60%-额外增益统计!L74)/(27550/2+51164.55)</f>
        <v>0.169696279078004</v>
      </c>
      <c r="K31">
        <f>属性计算面板!B7</f>
        <v>0.3473</v>
      </c>
      <c r="L31">
        <v>0.2</v>
      </c>
      <c r="M31">
        <f>属性计算面板!B4</f>
        <v>0.4994</v>
      </c>
      <c r="O31">
        <f>属性计算面板!B5</f>
        <v>2.0895</v>
      </c>
      <c r="Q31">
        <f t="shared" si="2"/>
        <v>36838</v>
      </c>
      <c r="R31">
        <f>INT((B31+(C31+属性计算面板!B2*50%)*D31)*E31*(1+F31+G31)*(1+H31)*(1+I31)*(1-J31)*(1+K31)*(1-L31))</f>
        <v>50646</v>
      </c>
      <c r="S31" t="e">
        <f>INT((B31+(C31+属性计算面板!B2*50%)*D31)*E31*(1+F31+G31)*(1+H31)*(1+I31+11.81%*按提示输入属性!D62+10.59%*按提示输入属性!#REF!)*(1-J31)*(1+K31)*(1-L31))</f>
        <v>#VALUE!</v>
      </c>
      <c r="T31">
        <f t="shared" si="0"/>
        <v>76973</v>
      </c>
      <c r="U31">
        <f t="shared" si="8"/>
        <v>118187</v>
      </c>
      <c r="V31" t="e">
        <f t="shared" si="9"/>
        <v>#VALUE!</v>
      </c>
      <c r="W31">
        <f>INT((B31+(C31+属性计算面板!B2*25%)*D31)*E31*(1+F31+G31)*(1+H31)*(1+I31)*(1-J31)*(1+K31)*(1-L31))</f>
        <v>43742</v>
      </c>
      <c r="X31">
        <f t="shared" si="5"/>
        <v>102076</v>
      </c>
    </row>
    <row r="32" spans="4:4">
      <c r="D32">
        <f>0.50651</f>
        <v>0.50651</v>
      </c>
    </row>
    <row r="35" spans="1:16">
      <c r="A35" s="17" t="s">
        <v>1041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20">
      <c r="A36" t="s">
        <v>1042</v>
      </c>
      <c r="B36" s="8" t="s">
        <v>960</v>
      </c>
      <c r="C36" s="8" t="s">
        <v>961</v>
      </c>
      <c r="D36" s="8" t="s">
        <v>962</v>
      </c>
      <c r="E36" s="8" t="s">
        <v>963</v>
      </c>
      <c r="F36" s="8" t="s">
        <v>964</v>
      </c>
      <c r="G36" s="8" t="s">
        <v>971</v>
      </c>
      <c r="H36" s="8" t="s">
        <v>972</v>
      </c>
      <c r="I36" s="8" t="s">
        <v>973</v>
      </c>
      <c r="J36" s="8" t="s">
        <v>974</v>
      </c>
      <c r="K36" s="8" t="s">
        <v>975</v>
      </c>
      <c r="L36" s="8" t="s">
        <v>1043</v>
      </c>
      <c r="M36" s="8" t="s">
        <v>976</v>
      </c>
      <c r="N36" s="8" t="s">
        <v>385</v>
      </c>
      <c r="O36" s="8" t="s">
        <v>1044</v>
      </c>
      <c r="P36" s="8" t="s">
        <v>1045</v>
      </c>
      <c r="Q36" s="8" t="s">
        <v>977</v>
      </c>
      <c r="R36" s="8" t="s">
        <v>1100</v>
      </c>
      <c r="S36" s="8" t="s">
        <v>1099</v>
      </c>
      <c r="T36" s="8" t="s">
        <v>1005</v>
      </c>
    </row>
    <row r="37" spans="1:20">
      <c r="A37" t="s">
        <v>997</v>
      </c>
      <c r="B37">
        <v>4</v>
      </c>
      <c r="C37">
        <v>4</v>
      </c>
      <c r="D37">
        <v>4</v>
      </c>
      <c r="E37">
        <v>4</v>
      </c>
      <c r="F37">
        <v>4</v>
      </c>
      <c r="G37">
        <v>0</v>
      </c>
      <c r="H37">
        <v>1</v>
      </c>
      <c r="I37">
        <v>1</v>
      </c>
      <c r="J37">
        <v>1</v>
      </c>
      <c r="K37">
        <v>1</v>
      </c>
      <c r="L37">
        <v>0</v>
      </c>
      <c r="M37">
        <v>0</v>
      </c>
      <c r="N37">
        <v>0</v>
      </c>
      <c r="O37">
        <f>7-R37</f>
        <v>2</v>
      </c>
      <c r="R37">
        <f>INT(7*(属性计算面板!B4+25%))</f>
        <v>5</v>
      </c>
      <c r="S37">
        <v>6</v>
      </c>
      <c r="T37">
        <v>1</v>
      </c>
    </row>
    <row r="38" spans="1:16">
      <c r="A38" s="17" t="s">
        <v>1046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24">
      <c r="A39" t="s">
        <v>1042</v>
      </c>
      <c r="B39" s="18" t="s">
        <v>960</v>
      </c>
      <c r="C39" s="18" t="s">
        <v>961</v>
      </c>
      <c r="D39" s="18" t="s">
        <v>962</v>
      </c>
      <c r="E39" s="18" t="s">
        <v>963</v>
      </c>
      <c r="F39" s="18" t="s">
        <v>964</v>
      </c>
      <c r="G39" s="18" t="s">
        <v>971</v>
      </c>
      <c r="H39" s="18" t="s">
        <v>972</v>
      </c>
      <c r="I39" s="18" t="s">
        <v>973</v>
      </c>
      <c r="J39" s="18" t="s">
        <v>974</v>
      </c>
      <c r="K39" s="18" t="s">
        <v>975</v>
      </c>
      <c r="L39" s="18" t="s">
        <v>1043</v>
      </c>
      <c r="M39" s="18" t="s">
        <v>976</v>
      </c>
      <c r="N39" s="18" t="s">
        <v>385</v>
      </c>
      <c r="O39" s="18" t="s">
        <v>1047</v>
      </c>
      <c r="P39" s="18" t="s">
        <v>364</v>
      </c>
      <c r="Q39" s="18" t="s">
        <v>981</v>
      </c>
      <c r="R39" s="18" t="s">
        <v>980</v>
      </c>
      <c r="S39" s="18" t="s">
        <v>1044</v>
      </c>
      <c r="T39" s="18" t="s">
        <v>1045</v>
      </c>
      <c r="U39" s="18" t="s">
        <v>977</v>
      </c>
      <c r="V39" s="18" t="s">
        <v>959</v>
      </c>
      <c r="W39" s="18" t="s">
        <v>966</v>
      </c>
      <c r="X39" s="8" t="s">
        <v>965</v>
      </c>
    </row>
    <row r="40" spans="1:24">
      <c r="A40" t="s">
        <v>997</v>
      </c>
      <c r="B40" t="e">
        <f>INT(按提示输入属性!Q26/5)-U47*(1*按提示输入属性!D42+ROUNDDOWN(按提示输入属性!D48/4,0))</f>
        <v>#VALUE!</v>
      </c>
      <c r="C40" t="e">
        <f>B40</f>
        <v>#VALUE!</v>
      </c>
      <c r="D40" t="e">
        <f>B40</f>
        <v>#VALUE!</v>
      </c>
      <c r="E40" t="e">
        <f>B40</f>
        <v>#VALUE!</v>
      </c>
      <c r="F40" t="e">
        <f>B40</f>
        <v>#VALUE!</v>
      </c>
      <c r="G40" t="e">
        <f>按提示输入属性!D36+INT(按提示输入属性!Q29/5)</f>
        <v>#VALUE!</v>
      </c>
      <c r="H40" t="e">
        <f>INT(按提示输入属性!Q29/5)</f>
        <v>#VALUE!</v>
      </c>
      <c r="I40" t="e">
        <f>INT(按提示输入属性!Q29/5)</f>
        <v>#VALUE!</v>
      </c>
      <c r="J40" t="e">
        <f>INT(按提示输入属性!Q29/5)</f>
        <v>#VALUE!</v>
      </c>
      <c r="K40" t="e">
        <f>INT(按提示输入属性!Q29/5)</f>
        <v>#VALUE!</v>
      </c>
      <c r="L40" t="e">
        <f>ROUNDUP((按提示输入属性!Q27-U47*按提示输入属性!D48*按提示输入属性!D42)*属性计算面板!B4,0)</f>
        <v>#VALUE!</v>
      </c>
      <c r="M40" t="e">
        <f>按提示输入属性!Q27-U47*按提示输入属性!D48*按提示输入属性!D42</f>
        <v>#VALUE!</v>
      </c>
      <c r="N40" t="str">
        <f>按提示输入属性!Q30</f>
        <v>不可调整</v>
      </c>
      <c r="O40">
        <f>按提示输入属性!D37</f>
        <v>0</v>
      </c>
      <c r="P40">
        <f>按提示输入属性!D37</f>
        <v>0</v>
      </c>
      <c r="Q40" t="e">
        <f>(INT(属性计算面板!B9/(10+10/((SUM(B40:P40)+SUM(B42:N42))/属性计算面板!B9)))-O42)*按提示输入属性!D59</f>
        <v>#VALUE!</v>
      </c>
      <c r="R40" t="e">
        <f>(INT(属性计算面板!B9/(10+1/M26))-P42)*按提示输入属性!D60</f>
        <v>#VALUE!</v>
      </c>
      <c r="S40">
        <v>0</v>
      </c>
      <c r="T40" t="e">
        <f>ROUNDDOWN((按提示输入属性!Q27-U47*按提示输入属性!D48*按提示输入属性!D42)*(1-属性计算面板!B4),0)</f>
        <v>#VALUE!</v>
      </c>
      <c r="U40" t="e">
        <f>G52</f>
        <v>#VALUE!</v>
      </c>
      <c r="V40">
        <f>U47*按提示输入属性!D48*按提示输入属性!D42*按提示输入属性!D63+U47*按提示输入属性!D48*按提示输入属性!D42*按提示输入属性!D64</f>
        <v>0</v>
      </c>
      <c r="W40">
        <f>属性计算面板!B12*按提示输入属性!D64</f>
        <v>7</v>
      </c>
      <c r="X40" t="e">
        <f>24*W40-Q47</f>
        <v>#VALUE!</v>
      </c>
    </row>
    <row r="41" spans="1:27">
      <c r="A41" t="s">
        <v>1042</v>
      </c>
      <c r="B41" s="8" t="s">
        <v>960</v>
      </c>
      <c r="C41" s="8" t="s">
        <v>961</v>
      </c>
      <c r="D41" s="8" t="s">
        <v>962</v>
      </c>
      <c r="E41" s="8" t="s">
        <v>963</v>
      </c>
      <c r="F41" s="8" t="s">
        <v>964</v>
      </c>
      <c r="G41" s="8" t="s">
        <v>971</v>
      </c>
      <c r="H41" s="8" t="s">
        <v>972</v>
      </c>
      <c r="I41" s="8" t="s">
        <v>973</v>
      </c>
      <c r="J41" s="8" t="s">
        <v>974</v>
      </c>
      <c r="K41" s="8" t="s">
        <v>975</v>
      </c>
      <c r="L41" s="8" t="s">
        <v>1043</v>
      </c>
      <c r="M41" s="8" t="s">
        <v>976</v>
      </c>
      <c r="N41" s="8" t="s">
        <v>385</v>
      </c>
      <c r="O41" s="8" t="s">
        <v>981</v>
      </c>
      <c r="P41" s="8" t="s">
        <v>980</v>
      </c>
      <c r="Q41" s="8" t="s">
        <v>1044</v>
      </c>
      <c r="R41" s="8" t="s">
        <v>1045</v>
      </c>
      <c r="S41" s="8" t="s">
        <v>977</v>
      </c>
      <c r="T41" s="8" t="s">
        <v>1048</v>
      </c>
      <c r="U41" s="8" t="s">
        <v>1049</v>
      </c>
      <c r="V41" s="18" t="s">
        <v>1050</v>
      </c>
      <c r="W41" s="8" t="s">
        <v>1051</v>
      </c>
      <c r="X41" s="8" t="s">
        <v>1052</v>
      </c>
      <c r="Y41" s="8" t="s">
        <v>1100</v>
      </c>
      <c r="Z41" s="8" t="s">
        <v>1099</v>
      </c>
      <c r="AA41" s="8" t="s">
        <v>1005</v>
      </c>
    </row>
    <row r="42" spans="1:27">
      <c r="A42" t="s">
        <v>997</v>
      </c>
      <c r="B42">
        <f>B37*(属性计算面板!B12-属性计算面板!B20)-S47*(3*按提示输入属性!D42+ROUNDDOWN(按提示输入属性!D48/4,0))</f>
        <v>17</v>
      </c>
      <c r="C42">
        <f>B42</f>
        <v>17</v>
      </c>
      <c r="D42">
        <f>B42</f>
        <v>17</v>
      </c>
      <c r="E42">
        <f>B42</f>
        <v>17</v>
      </c>
      <c r="F42">
        <f>B42</f>
        <v>17</v>
      </c>
      <c r="G42">
        <f>G37*(属性计算面板!B12-属性计算面板!B20)</f>
        <v>0</v>
      </c>
      <c r="H42">
        <f>H37*(属性计算面板!B12-属性计算面板!B20)</f>
        <v>5</v>
      </c>
      <c r="I42">
        <f>H37*(属性计算面板!B12-属性计算面板!B20)</f>
        <v>5</v>
      </c>
      <c r="J42">
        <f>H37*(属性计算面板!B12-属性计算面板!B20)</f>
        <v>5</v>
      </c>
      <c r="K42">
        <f>H37*(属性计算面板!B12-属性计算面板!B20)</f>
        <v>5</v>
      </c>
      <c r="L42">
        <f>L37*(属性计算面板!B12-属性计算面板!B20)</f>
        <v>0</v>
      </c>
      <c r="M42">
        <f>M37*(属性计算面板!B12-属性计算面板!B20)</f>
        <v>0</v>
      </c>
      <c r="N42">
        <v>0</v>
      </c>
      <c r="O42" s="20" t="e">
        <f>(INT((属性计算面板!B12*9)/(10+10/((SUM(B40:P40)+SUM(B42:N42))/属性计算面板!B9))))*按提示输入属性!D59</f>
        <v>#VALUE!</v>
      </c>
      <c r="P42" s="20" t="e">
        <f>INT((属性计算面板!B12*9)/(10+1/(M26+25%)))*按提示输入属性!D60</f>
        <v>#VALUE!</v>
      </c>
      <c r="Q42">
        <f>O37*(属性计算面板!B12-属性计算面板!B20)</f>
        <v>10</v>
      </c>
      <c r="T42" t="e">
        <f>P40*3-T47*按提示输入属性!D48*按提示输入属性!D42</f>
        <v>#REF!</v>
      </c>
      <c r="U42" t="e">
        <f>T42</f>
        <v>#REF!</v>
      </c>
      <c r="V42">
        <f>V40*按提示输入属性!D63</f>
        <v>0</v>
      </c>
      <c r="W42">
        <f>S47*按提示输入属性!D48*按提示输入属性!D42*按提示输入属性!D63+S47*按提示输入属性!D48*按提示输入属性!D42*按提示输入属性!D64</f>
        <v>0</v>
      </c>
      <c r="X42">
        <f>W42*按提示输入属性!D63</f>
        <v>0</v>
      </c>
      <c r="Y42">
        <f>R37*(属性计算面板!B12-属性计算面板!B20)-S47*按提示输入属性!D48*按提示输入属性!D42</f>
        <v>25</v>
      </c>
      <c r="Z42">
        <f>R37*(属性计算面板!B12-属性计算面板!B20)-S47*按提示输入属性!D48*按提示输入属性!D42</f>
        <v>25</v>
      </c>
      <c r="AA42">
        <f>Q42</f>
        <v>10</v>
      </c>
    </row>
    <row r="43" spans="1:24">
      <c r="A43" s="19" t="s">
        <v>1053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8" t="s">
        <v>1054</v>
      </c>
      <c r="S43" s="8" t="s">
        <v>1055</v>
      </c>
      <c r="T43" s="8" t="s">
        <v>1056</v>
      </c>
      <c r="U43" s="8" t="s">
        <v>1057</v>
      </c>
      <c r="V43" s="8" t="s">
        <v>1058</v>
      </c>
      <c r="W43" s="8" t="s">
        <v>959</v>
      </c>
      <c r="X43" s="8" t="s">
        <v>1050</v>
      </c>
    </row>
    <row r="44" spans="1:24">
      <c r="A44" t="s">
        <v>1042</v>
      </c>
      <c r="B44" s="8" t="s">
        <v>960</v>
      </c>
      <c r="C44" s="8" t="s">
        <v>961</v>
      </c>
      <c r="D44" s="8" t="s">
        <v>962</v>
      </c>
      <c r="E44" s="8" t="s">
        <v>963</v>
      </c>
      <c r="F44" s="8" t="s">
        <v>964</v>
      </c>
      <c r="G44" s="8" t="s">
        <v>971</v>
      </c>
      <c r="H44" s="8" t="s">
        <v>972</v>
      </c>
      <c r="I44" s="8" t="s">
        <v>973</v>
      </c>
      <c r="J44" s="8" t="s">
        <v>974</v>
      </c>
      <c r="K44" s="8" t="s">
        <v>975</v>
      </c>
      <c r="L44" s="8" t="s">
        <v>1043</v>
      </c>
      <c r="M44" s="8" t="s">
        <v>976</v>
      </c>
      <c r="N44" s="8" t="s">
        <v>385</v>
      </c>
      <c r="O44" s="8" t="s">
        <v>1044</v>
      </c>
      <c r="P44" s="8" t="s">
        <v>1045</v>
      </c>
      <c r="Q44" s="8" t="s">
        <v>977</v>
      </c>
      <c r="R44" t="e">
        <f>ROUNDUP(按提示输入属性!D36/3,0)*2+(按提示输入属性!D37-ROUNDUP(按提示输入属性!D36/3,0))*1-T47*(3*按提示输入属性!D42+ROUNDDOWN(按提示输入属性!D48/4,0))</f>
        <v>#REF!</v>
      </c>
      <c r="S44" t="e">
        <f>R44</f>
        <v>#REF!</v>
      </c>
      <c r="T44" t="e">
        <f>R44</f>
        <v>#REF!</v>
      </c>
      <c r="U44" t="e">
        <f>R44</f>
        <v>#REF!</v>
      </c>
      <c r="V44" t="e">
        <f>R44</f>
        <v>#REF!</v>
      </c>
      <c r="W44" t="e">
        <f>T47*按提示输入属性!D48*按提示输入属性!D42*按提示输入属性!D63+T47*按提示输入属性!D48*按提示输入属性!D42*按提示输入属性!D64</f>
        <v>#REF!</v>
      </c>
      <c r="X44" t="e">
        <f>W44*按提示输入属性!D63</f>
        <v>#REF!</v>
      </c>
    </row>
    <row r="45" spans="1:16">
      <c r="A45" t="s">
        <v>997</v>
      </c>
      <c r="B45">
        <f>B37*(属性计算面板!B20)</f>
        <v>8</v>
      </c>
      <c r="C45">
        <f>C37*(属性计算面板!B20)</f>
        <v>8</v>
      </c>
      <c r="D45">
        <f>D37*(属性计算面板!B20)</f>
        <v>8</v>
      </c>
      <c r="E45">
        <f>E37*(属性计算面板!B20)</f>
        <v>8</v>
      </c>
      <c r="F45">
        <f>F37*(属性计算面板!B20)</f>
        <v>8</v>
      </c>
      <c r="G45">
        <f>G37*(属性计算面板!B20)</f>
        <v>0</v>
      </c>
      <c r="H45">
        <f>H37*(属性计算面板!B20)</f>
        <v>2</v>
      </c>
      <c r="I45">
        <f>I37*(属性计算面板!B20)</f>
        <v>2</v>
      </c>
      <c r="J45">
        <f>J37*(属性计算面板!B20)</f>
        <v>2</v>
      </c>
      <c r="K45">
        <f>K37*(属性计算面板!B20)</f>
        <v>2</v>
      </c>
      <c r="L45">
        <f>L37*(属性计算面板!B20)</f>
        <v>0</v>
      </c>
      <c r="M45">
        <f>M37*(属性计算面板!B20)</f>
        <v>0</v>
      </c>
      <c r="N45">
        <v>0</v>
      </c>
      <c r="O45" s="20">
        <f>O37*(属性计算面板!B20)</f>
        <v>4</v>
      </c>
      <c r="P45" s="20"/>
    </row>
    <row r="46" ht="17.25" spans="14:22">
      <c r="N46" s="8" t="s">
        <v>1005</v>
      </c>
      <c r="O46" s="8" t="s">
        <v>1100</v>
      </c>
      <c r="P46" s="8" t="s">
        <v>1099</v>
      </c>
      <c r="Q46" s="8" t="s">
        <v>965</v>
      </c>
      <c r="S46" s="25" t="s">
        <v>1101</v>
      </c>
      <c r="T46" s="25" t="s">
        <v>1102</v>
      </c>
      <c r="U46" s="25" t="s">
        <v>1103</v>
      </c>
      <c r="V46" s="26" t="s">
        <v>1104</v>
      </c>
    </row>
    <row r="47" spans="1:22">
      <c r="A47" s="20"/>
      <c r="B47" s="20" t="s">
        <v>1059</v>
      </c>
      <c r="C47" s="20" t="s">
        <v>1060</v>
      </c>
      <c r="D47" s="20" t="s">
        <v>1061</v>
      </c>
      <c r="E47" s="20" t="s">
        <v>1062</v>
      </c>
      <c r="F47" s="20" t="s">
        <v>1063</v>
      </c>
      <c r="G47" s="20" t="s">
        <v>1064</v>
      </c>
      <c r="H47" s="20" t="s">
        <v>1065</v>
      </c>
      <c r="I47" s="20" t="s">
        <v>1066</v>
      </c>
      <c r="J47" s="20"/>
      <c r="K47" s="20"/>
      <c r="L47" s="20"/>
      <c r="M47" s="20"/>
      <c r="N47" s="20">
        <f>T37*(属性计算面板!B20)</f>
        <v>2</v>
      </c>
      <c r="O47" s="20">
        <f>R37*(属性计算面板!B20)</f>
        <v>10</v>
      </c>
      <c r="P47" s="20">
        <f>S37*(属性计算面板!B20)</f>
        <v>12</v>
      </c>
      <c r="Q47" t="e">
        <f>24*(按提示输入属性!D62+按提示输入属性!#REF!)*按提示输入属性!D64</f>
        <v>#VALUE!</v>
      </c>
      <c r="S47">
        <f>按提示输入属性!D46</f>
        <v>3</v>
      </c>
      <c r="T47" t="e">
        <f>按提示输入属性!#REF!</f>
        <v>#REF!</v>
      </c>
      <c r="U47">
        <f>按提示输入属性!D47</f>
        <v>4</v>
      </c>
      <c r="V47">
        <f>按提示输入属性!D49</f>
        <v>10</v>
      </c>
    </row>
    <row r="48" spans="1:16">
      <c r="A48" s="20" t="s">
        <v>1068</v>
      </c>
      <c r="B48" s="20">
        <f>INT((按提示输入属性!D31-属性计算面板!B19*5*按提示输入属性!D42-按提示输入属性!D36*10-按提示输入属性!D37*4)/1.44)</f>
        <v>159</v>
      </c>
      <c r="C48" s="20" t="e">
        <f>B48-E48-B50</f>
        <v>#VALUE!</v>
      </c>
      <c r="D48" s="20" t="e">
        <f>C48-B50-C50-(V40+W40)</f>
        <v>#VALUE!</v>
      </c>
      <c r="E48" s="20" t="e">
        <f>G40+G42+G45</f>
        <v>#VALUE!</v>
      </c>
      <c r="F48" s="20">
        <f>属性计算面板!B19*4*按提示输入属性!D42</f>
        <v>0</v>
      </c>
      <c r="G48" s="20">
        <f>F48/属性计算面板!B19</f>
        <v>0</v>
      </c>
      <c r="H48" s="20">
        <f>INT(F48/2-G48)</f>
        <v>0</v>
      </c>
      <c r="I48" s="20">
        <f>F48-G48-H48</f>
        <v>0</v>
      </c>
      <c r="J48" s="20"/>
      <c r="K48" s="20"/>
      <c r="L48" s="20"/>
      <c r="M48" s="20"/>
      <c r="N48" s="20"/>
      <c r="O48" s="20"/>
      <c r="P48" s="20"/>
    </row>
    <row r="49" spans="1:16">
      <c r="A49" s="20" t="s">
        <v>254</v>
      </c>
      <c r="B49" s="20" t="s">
        <v>1069</v>
      </c>
      <c r="C49" s="20" t="s">
        <v>1070</v>
      </c>
      <c r="D49" s="20" t="s">
        <v>1071</v>
      </c>
      <c r="E49" s="20" t="s">
        <v>1072</v>
      </c>
      <c r="F49" s="20" t="s">
        <v>1073</v>
      </c>
      <c r="G49" s="20" t="s">
        <v>1074</v>
      </c>
      <c r="H49" s="20" t="s">
        <v>1075</v>
      </c>
      <c r="I49" s="20" t="s">
        <v>1076</v>
      </c>
      <c r="J49" s="20" t="s">
        <v>1077</v>
      </c>
      <c r="K49" s="20"/>
      <c r="L49" s="20"/>
      <c r="M49" s="20"/>
      <c r="N49" s="20"/>
      <c r="O49" s="20" t="s">
        <v>367</v>
      </c>
      <c r="P49" s="20"/>
    </row>
    <row r="50" spans="1:16">
      <c r="A50" s="20" t="s">
        <v>1078</v>
      </c>
      <c r="B50" s="20">
        <f>2*属性计算面板!B12</f>
        <v>14</v>
      </c>
      <c r="C50" s="20">
        <f>属性计算面板!B12-2</f>
        <v>5</v>
      </c>
      <c r="D50" s="20">
        <f>MEDIAN(属性计算面板!B4+4%,0,100%)</f>
        <v>0.5394</v>
      </c>
      <c r="E50" s="20" t="e">
        <f>INT(C48/2)+1</f>
        <v>#VALUE!</v>
      </c>
      <c r="F50" s="20" t="e">
        <f>INT(E50*D50)+1+B50</f>
        <v>#VALUE!</v>
      </c>
      <c r="G50" s="20" t="e">
        <f>ROUND(E50-F50,0)</f>
        <v>#VALUE!</v>
      </c>
      <c r="H50" s="20" t="e">
        <f>D48-E50</f>
        <v>#VALUE!</v>
      </c>
      <c r="I50" s="20" t="e">
        <f>INT(H50*MIN(1,(属性计算面板!B4+7%)))</f>
        <v>#VALUE!</v>
      </c>
      <c r="J50" s="20" t="e">
        <f>MEDIAN(H50-I50,0,999999)</f>
        <v>#VALUE!</v>
      </c>
      <c r="K50" s="20"/>
      <c r="L50" s="20"/>
      <c r="M50" s="20"/>
      <c r="N50" s="20"/>
      <c r="O50" s="20"/>
      <c r="P50" s="20"/>
    </row>
    <row r="51" spans="1:16">
      <c r="A51" s="20"/>
      <c r="B51" s="20"/>
      <c r="C51" s="20"/>
      <c r="D51" s="20" t="s">
        <v>1079</v>
      </c>
      <c r="E51" s="20" t="s">
        <v>1080</v>
      </c>
      <c r="F51" s="20"/>
      <c r="G51" s="20"/>
      <c r="H51" s="20"/>
      <c r="I51" s="20" t="s">
        <v>1081</v>
      </c>
      <c r="J51" s="20"/>
      <c r="K51" s="20"/>
      <c r="L51" s="20"/>
      <c r="M51" s="20" t="s">
        <v>184</v>
      </c>
      <c r="N51" s="20"/>
      <c r="O51" s="20"/>
      <c r="P51" s="20"/>
    </row>
    <row r="52" spans="1:16">
      <c r="A52" s="20" t="s">
        <v>1082</v>
      </c>
      <c r="B52" s="20" t="s">
        <v>337</v>
      </c>
      <c r="C52" s="20" t="b">
        <f>IF(COUNTIF(按提示输入属性!D80,B52)&gt;0,TRUE,FALSE)</f>
        <v>0</v>
      </c>
      <c r="D52" s="20" t="e">
        <f>INT(F50*D54)</f>
        <v>#VALUE!</v>
      </c>
      <c r="E52" s="20" t="e">
        <f>INT(G50*D54)</f>
        <v>#VALUE!</v>
      </c>
      <c r="F52" s="20" t="e">
        <f>F50-D53</f>
        <v>#VALUE!</v>
      </c>
      <c r="G52" s="20" t="e">
        <f>G50-E53+I52</f>
        <v>#VALUE!</v>
      </c>
      <c r="H52" s="20" t="e">
        <f>I50+J50-I52</f>
        <v>#VALUE!</v>
      </c>
      <c r="I52" s="20" t="e">
        <f>INT(L40*D54/2+1)</f>
        <v>#VALUE!</v>
      </c>
      <c r="J52" s="20"/>
      <c r="K52" s="20"/>
      <c r="L52" s="20"/>
      <c r="M52" s="20"/>
      <c r="N52" s="20"/>
      <c r="O52" s="20"/>
      <c r="P52" s="20"/>
    </row>
    <row r="53" spans="1:16">
      <c r="A53" s="20"/>
      <c r="B53" s="20"/>
      <c r="C53" s="20"/>
      <c r="D53" s="20">
        <f>SUMIFS(D52,D52,"&gt;0",C52,TRUE)</f>
        <v>0</v>
      </c>
      <c r="E53" s="20">
        <f>SUMIFS(E52,E52,"&gt;0",C52,TRUE)</f>
        <v>0</v>
      </c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>
      <c r="A54" s="20"/>
      <c r="B54" s="20"/>
      <c r="C54" s="20"/>
      <c r="D54" s="20">
        <f>MEDIAN(属性计算面板!B4+4%,0,100%)</f>
        <v>0.5394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>
      <c r="A55" s="20" t="s">
        <v>943</v>
      </c>
      <c r="B55" s="23">
        <v>0.2442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1:16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1:16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2:24">
      <c r="B59" s="8" t="s">
        <v>383</v>
      </c>
      <c r="C59" s="8" t="s">
        <v>1083</v>
      </c>
      <c r="D59" s="8" t="s">
        <v>1043</v>
      </c>
      <c r="E59" s="8" t="s">
        <v>976</v>
      </c>
      <c r="F59" s="8" t="s">
        <v>385</v>
      </c>
      <c r="G59" s="8" t="s">
        <v>981</v>
      </c>
      <c r="H59" s="8" t="s">
        <v>980</v>
      </c>
      <c r="I59" s="8" t="s">
        <v>103</v>
      </c>
      <c r="J59" s="8" t="s">
        <v>1044</v>
      </c>
      <c r="K59" s="8" t="s">
        <v>1048</v>
      </c>
      <c r="L59" s="8" t="s">
        <v>72</v>
      </c>
      <c r="M59" s="8" t="s">
        <v>1084</v>
      </c>
      <c r="N59" s="8" t="s">
        <v>1049</v>
      </c>
      <c r="O59" s="8" t="s">
        <v>1085</v>
      </c>
      <c r="P59" s="8" t="s">
        <v>1086</v>
      </c>
      <c r="Q59" s="8" t="s">
        <v>959</v>
      </c>
      <c r="R59" s="8" t="s">
        <v>1050</v>
      </c>
      <c r="S59" s="8" t="s">
        <v>965</v>
      </c>
      <c r="T59" s="8" t="s">
        <v>1100</v>
      </c>
      <c r="U59" s="8" t="s">
        <v>1099</v>
      </c>
      <c r="V59" s="25" t="s">
        <v>1105</v>
      </c>
      <c r="W59" s="25" t="s">
        <v>1106</v>
      </c>
      <c r="X59" s="8" t="s">
        <v>1005</v>
      </c>
    </row>
    <row r="60" spans="1:24">
      <c r="A60" t="s">
        <v>1087</v>
      </c>
      <c r="B60" t="e">
        <f>INT((SUM(U3:U7)*B42+SUM(V3:V7)*B45)*(MEDIAN('伤害统计(原理想)'!M3+'伤害统计(原理想)'!N3+B55,0,100%))*(1+22.85%*30%*1%*属性计算面板!B16+22.85%*70%*5%*属性计算面板!B16))</f>
        <v>#VALUE!</v>
      </c>
      <c r="C60" t="e">
        <f>INT((SUM('伤害统计(原理想)'!U16:U19)*(按提示输入属性!D36-按提示输入属性!D62-按提示输入属性!#REF!)+SUM('伤害统计(原理想)'!V16:V19)*(按提示输入属性!D62+按提示输入属性!#REF!))*(MEDIAN(M16+B55,0,100%))*(1+22.85%*30%*1%*属性计算面板!B16+22.85%*70%*5%*属性计算面板!B16))</f>
        <v>#VALUE!</v>
      </c>
      <c r="D60" t="e">
        <f>INT((L42*'伤害统计(原理想)'!U11+L45*'伤害统计(原理想)'!V11)*(MEDIAN('伤害统计(原理想)'!M11+B55+'伤害统计(原理想)'!N11,0,100%))*(1+22.85%*30%*1%*属性计算面板!B16+22.85%*70%*5%*属性计算面板!B16))</f>
        <v>#REF!</v>
      </c>
      <c r="E60" t="e">
        <f>INT((U21*M42+'伤害统计(原理想)'!V21*M45)*(MEDIAN(M21+B55,0,100%))*(1+22.85%*30%*1%*属性计算面板!B16+22.85%*70%*5%*属性计算面板!B16))</f>
        <v>#REF!</v>
      </c>
      <c r="F60" t="e">
        <f>INT('伤害统计(原理想)'!U10*N42*(MEDIAN(M10+N10+B55,0,100%))*(1+22.85%*30%*1%*属性计算面板!B16+22.85%*70%*5%*属性计算面板!B16))</f>
        <v>#VALUE!</v>
      </c>
      <c r="G60" t="e">
        <f>INT(U27*O42*(MEDIAN(M27+B55,0,100%))*(1+22.85%*30%*1%*属性计算面板!B16+22.85%*70%*5%*属性计算面板!B16))*按提示输入属性!D59</f>
        <v>#VALUE!</v>
      </c>
      <c r="H60" t="e">
        <f>INT(U26*(MEDIAN(M26+B55,0,100%))*(1+22.85%*30%*1%*属性计算面板!B16+22.85%*70%*5%*属性计算面板!B16))*按提示输入属性!D60</f>
        <v>#VALUE!</v>
      </c>
      <c r="I60">
        <v>0</v>
      </c>
      <c r="J60" t="e">
        <f>INT((Q42*'伤害统计(原理想)'!U13+O45*'伤害统计(原理想)'!V13)*(MEDIAN('伤害统计(原理想)'!M13+B55+'伤害统计(原理想)'!N13,0,100%))*(1+22.85%*30%*1%*属性计算面板!B16+22.85%*70%*5%*属性计算面板!B16))</f>
        <v>#REF!</v>
      </c>
      <c r="K60" t="e">
        <f>INT((T42*'伤害统计(原理想)'!X14)*(MEDIAN('伤害统计(原理想)'!M14+B55+'伤害统计(原理想)'!N14,0,100%))*(1+22.85%*30%*1%*属性计算面板!B16+22.85%*70%*5%*属性计算面板!B16))</f>
        <v>#REF!</v>
      </c>
      <c r="L60">
        <f>'伤害统计(原理想)'!T28*按提示输入属性!D35</f>
        <v>0</v>
      </c>
      <c r="M60" t="e">
        <f>INT((SUM(X3:X7)*R44)*(MEDIAN('伤害统计(原理想)'!M3+'伤害统计(原理想)'!N3+B55,0,100%))*(1+22.85%*30%*1%*属性计算面板!B16+22.85%*70%*5%*属性计算面板!B16))</f>
        <v>#REF!</v>
      </c>
      <c r="N60" t="e">
        <f>INT((U42*'伤害统计(原理想)'!X22)*(MEDIAN('伤害统计(原理想)'!M22+B55+'伤害统计(原理想)'!N22,0,100%))*(1+22.85%*30%*1%*属性计算面板!B16+22.85%*70%*5%*属性计算面板!B16))</f>
        <v>#REF!</v>
      </c>
      <c r="O60" t="e">
        <f>INT((W42*'伤害统计(原理想)'!U2)*(MEDIAN('伤害统计(原理想)'!M2+B55+'伤害统计(原理想)'!N2,0,100%))*(1+22.85%*30%*1%*属性计算面板!B16+22.85%*70%*5%*属性计算面板!B16))</f>
        <v>#VALUE!</v>
      </c>
      <c r="P60" t="e">
        <f>INT((W42*'伤害统计(原理想)'!U23)*(MEDIAN('伤害统计(原理想)'!M23+B55+'伤害统计(原理想)'!N23,0,100%))*(1+22.85%*30%*1%*属性计算面板!B16+22.85%*70%*5%*属性计算面板!B16))*按提示输入属性!D63</f>
        <v>#VALUE!</v>
      </c>
      <c r="Q60" t="e">
        <f>INT((W44*'伤害统计(原理想)'!X2)*(MEDIAN('伤害统计(原理想)'!M2+B55+'伤害统计(原理想)'!N2,0,100%))*(1+22.85%*30%*1%*属性计算面板!B16+22.85%*70%*5%*属性计算面板!B16))</f>
        <v>#REF!</v>
      </c>
      <c r="R60" t="e">
        <f>INT((X44*T23)*(MEDIAN('伤害统计(原理想)'!M23+B55+'伤害统计(原理想)'!N23,0,100%))*(1+22.85%*30%*1%*属性计算面板!B16+22.85%*70%*5%*属性计算面板!B16))</f>
        <v>#REF!</v>
      </c>
      <c r="S60" t="e">
        <f>INT((X40*'伤害统计(原理想)'!U8+Q47*'伤害统计(原理想)'!V8)*(MEDIAN('伤害统计(原理想)'!M8+B55+'伤害统计(原理想)'!N8,0,100%))*(1+22.85%*30%*1%*属性计算面板!B16+22.85%*70%*5%*属性计算面板!B16))</f>
        <v>#VALUE!</v>
      </c>
      <c r="T60" t="e">
        <f>INT((Y42*'伤害统计(原理想)'!U12+O47*'伤害统计(原理想)'!V12)*(MEDIAN('伤害统计(原理想)'!M12+B55+'伤害统计(原理想)'!N12,0,100%))*(1+22.85%*30%*1%*属性计算面板!B16+22.85%*70%*5%*属性计算面板!B16))</f>
        <v>#REF!</v>
      </c>
      <c r="U60" t="e">
        <f>INT((Z42*'伤害统计(原理想)'!U21+P47*'伤害统计(原理想)'!V21)*(MEDIAN('伤害统计(原理想)'!M21+B55+'伤害统计(原理想)'!N21,0,100%))*(1+22.85%*30%*1%*属性计算面板!B16+22.85%*70%*5%*属性计算面板!B16))</f>
        <v>#REF!</v>
      </c>
      <c r="V60" t="e">
        <f>INT((V47*(V31*(MEDIAN('伤害统计(原理想)'!M31+B55+'伤害统计(原理想)'!N31,0,100%))+S31*(MEDIAN(1-'伤害统计(原理想)'!M31-B55-'伤害统计(原理想)'!N31,0,100%))))*按提示输入属性!D42*(按提示输入属性!D62+按提示输入属性!#REF!)*3*(1+22.85%*30%*1%*属性计算面板!B16+22.85%*70%*5%*属性计算面板!B16))</f>
        <v>#VALUE!</v>
      </c>
      <c r="W60" t="e">
        <f>INT((V47*(S47-按提示输入属性!#REF!-按提示输入属性!D62)*(U31*(MEDIAN('伤害统计(原理想)'!M31+B55+'伤害统计(原理想)'!N31,0,100%))+R31*(MEDIAN(1-'伤害统计(原理想)'!M31-B55-'伤害统计(原理想)'!N31,0,100%))))*按提示输入属性!D42*3*(1+22.85%*30%*1%*属性计算面板!B16+22.85%*70%*5%*属性计算面板!B16))</f>
        <v>#REF!</v>
      </c>
      <c r="X60" t="e">
        <f>INT((Z42*'伤害统计(原理想)'!U20+P47*'伤害统计(原理想)'!V20)*(MEDIAN('伤害统计(原理想)'!M20+B55+'伤害统计(原理想)'!N20,0,100%))*(1+22.85%*30%*1%*属性计算面板!B16+22.85%*70%*5%*属性计算面板!B16))</f>
        <v>#VALUE!</v>
      </c>
    </row>
    <row r="61" spans="2:21">
      <c r="B61" s="18" t="s">
        <v>383</v>
      </c>
      <c r="C61" s="18" t="s">
        <v>999</v>
      </c>
      <c r="D61" s="18" t="s">
        <v>1044</v>
      </c>
      <c r="E61" s="18" t="s">
        <v>976</v>
      </c>
      <c r="F61" s="18" t="s">
        <v>385</v>
      </c>
      <c r="G61" s="18" t="s">
        <v>1047</v>
      </c>
      <c r="H61" s="18" t="s">
        <v>364</v>
      </c>
      <c r="I61" s="18" t="s">
        <v>981</v>
      </c>
      <c r="J61" s="18" t="s">
        <v>980</v>
      </c>
      <c r="K61" s="18" t="s">
        <v>103</v>
      </c>
      <c r="L61" s="18" t="s">
        <v>70</v>
      </c>
      <c r="M61" s="18" t="s">
        <v>1088</v>
      </c>
      <c r="N61" s="18" t="s">
        <v>1107</v>
      </c>
      <c r="O61" s="18" t="s">
        <v>1045</v>
      </c>
      <c r="P61" s="18" t="s">
        <v>977</v>
      </c>
      <c r="Q61" s="18" t="s">
        <v>959</v>
      </c>
      <c r="R61" s="18" t="s">
        <v>1050</v>
      </c>
      <c r="S61" s="18" t="s">
        <v>1043</v>
      </c>
      <c r="T61" s="18" t="s">
        <v>966</v>
      </c>
      <c r="U61" s="25" t="s">
        <v>983</v>
      </c>
    </row>
    <row r="62" spans="1:21">
      <c r="A62" t="s">
        <v>1090</v>
      </c>
      <c r="B62" t="e">
        <f>INT(SUM(T3:T7)*B40*(MEDIAN(M3+N3,0,100%))*(1+22.85%*30%*1%*属性计算面板!B16+22.85%*70%*5%*属性计算面板!B16))</f>
        <v>#VALUE!</v>
      </c>
      <c r="C62" t="e">
        <f>INT(SUM(T15:T19)*H40*(MEDIAN(M16+N16,0,100%)))+INT(T15*(G40-H40)*(MEDIAN(M16+N16,0,100%))*(1+22.85%*30%*1%*属性计算面板!B16+22.85%*70%*5%*属性计算面板!B16))</f>
        <v>#VALUE!</v>
      </c>
      <c r="D62" t="e">
        <f>INT(SUM(T13)*S40*(MEDIAN(M13+N13,0,100%))*(1+22.85%*30%*1%*属性计算面板!B16+22.85%*70%*5%*属性计算面板!B16))</f>
        <v>#REF!</v>
      </c>
      <c r="E62" t="e">
        <f>INT(SUM(T20)*M40*(MEDIAN(M20+N20,0,100%))*(1+22.85%*30%*1%*属性计算面板!B16+22.85%*70%*5%*属性计算面板!B16))</f>
        <v>#VALUE!</v>
      </c>
      <c r="F62" t="e">
        <f>INT(SUM(T10)*N40*(MEDIAN(M10+N10,0,100%))*(1+22.85%*30%*1%*属性计算面板!B16+22.85%*70%*5%*属性计算面板!B16))</f>
        <v>#VALUE!</v>
      </c>
      <c r="G62" t="e">
        <f>INT(SUM(T24)*O40*(MEDIAN(M24+N24,0,100%))*(1+22.85%*30%*1%*属性计算面板!B16+22.85%*70%*5%*属性计算面板!B16))</f>
        <v>#VALUE!</v>
      </c>
      <c r="H62" t="e">
        <f>INT(SUM(T25)*P40*(MEDIAN(M25+N25,0,100%))*(1+22.85%*30%*1%*属性计算面板!B16+22.85%*70%*5%*属性计算面板!B16))</f>
        <v>#VALUE!</v>
      </c>
      <c r="I62" t="e">
        <f>INT(SUM(T27)*Q40*(MEDIAN(M27+N27,0,100%))*(1+22.85%*30%*1%*属性计算面板!B16+22.85%*70%*5%*属性计算面板!B16))</f>
        <v>#VALUE!</v>
      </c>
      <c r="J62" t="e">
        <f>INT(SUM(T26)*R40*(MEDIAN(M26+N26,0,100%))*(1+22.85%*30%*1%*属性计算面板!B16+22.85%*70%*5%*属性计算面板!B16))</f>
        <v>#VALUE!</v>
      </c>
      <c r="K62">
        <v>0</v>
      </c>
      <c r="L62" t="e">
        <f>INT(T29*按提示输入属性!D34*(MEDIAN(M29+N29,0,100%))*(1+22.85%*30%*1%*属性计算面板!B16+22.85%*70%*5%*属性计算面板!B16))</f>
        <v>#VALUE!</v>
      </c>
      <c r="M62" t="e">
        <f>(C60+D60+C62+D62+C65+D65+C67+D67)*10%*按提示输入属性!D105</f>
        <v>#VALUE!</v>
      </c>
      <c r="N62" t="e">
        <f>INT(SUM(T30)*6*按提示输入属性!D34*(MEDIAN(M30+N30,0,100%))*(1+22.85%*30%*1%*属性计算面板!B16+22.85%*70%*5%*属性计算面板!B16))</f>
        <v>#VALUE!</v>
      </c>
      <c r="O62" t="e">
        <f>INT(SUM(T14)*T40*(MEDIAN(M14+N14,0,100%))*(1+22.85%*30%*1%*属性计算面板!B16+22.85%*70%*5%*属性计算面板!B16))</f>
        <v>#REF!</v>
      </c>
      <c r="P62" t="e">
        <f>INT(SUM(T22)*U40*(MEDIAN(M22+N22,0,100%))*(1+22.85%*30%*1%*属性计算面板!B16+22.85%*70%*5%*属性计算面板!B16))</f>
        <v>#VALUE!</v>
      </c>
      <c r="Q62" t="e">
        <f>INT(SUM(T2)*V40*(MEDIAN(M2+N2,0,100%))*(1+22.85%*30%*1%*属性计算面板!B16+22.85%*70%*5%*属性计算面板!B16))</f>
        <v>#VALUE!</v>
      </c>
      <c r="R62" t="e">
        <f>INT(V42*T23*(MEDIAN(M23+N23,0,100%))*(1+22.85%*30%*1%*属性计算面板!B16+22.85%*70%*5%*属性计算面板!B16))</f>
        <v>#VALUE!</v>
      </c>
      <c r="S62" t="e">
        <f>INT(SUM(T11)*L40*(MEDIAN(M11+N11,0,100%))*(1+22.85%*30%*1%*属性计算面板!B16+22.85%*70%*5%*属性计算面板!B16))</f>
        <v>#REF!</v>
      </c>
      <c r="T62" t="e">
        <f>INT(SUM(T9)*W40*(MEDIAN(M9+N9,0,100%))*(1+22.85%*30%*1%*属性计算面板!B16+22.85%*70%*5%*属性计算面板!B16))</f>
        <v>#VALUE!</v>
      </c>
      <c r="U62" t="e">
        <f>INT((V47*U47*(T31*(MEDIAN('伤害统计(原理想)'!M31+'伤害统计(原理想)'!N31,0,100%))+Q31*(MEDIAN(1-'伤害统计(原理想)'!M31+'伤害统计(原理想)'!N31,0,100%))))*按提示输入属性!D42*3*(1+22.85%*30%*1%*属性计算面板!B16+22.85%*70%*5%*属性计算面板!B16))</f>
        <v>#VALUE!</v>
      </c>
    </row>
    <row r="63" spans="4:17">
      <c r="D63" t="e">
        <f>D62*(属性计算面板!B4+10%+4%)*30%/(S40+T40)*N40*(属性计算面板!B5+20%)*按提示输入属性!#REF!</f>
        <v>#REF!</v>
      </c>
      <c r="L63">
        <f>'伤害统计(原理想)'!U58*按提示输入属性!D94*5</f>
        <v>0</v>
      </c>
      <c r="Q63" t="e">
        <f>INT(Q62*0.4*0.25)*按提示输入属性!D53</f>
        <v>#VALUE!</v>
      </c>
    </row>
    <row r="64" spans="2:21">
      <c r="B64" s="8" t="s">
        <v>383</v>
      </c>
      <c r="C64" s="8" t="s">
        <v>1083</v>
      </c>
      <c r="D64" s="8" t="s">
        <v>1043</v>
      </c>
      <c r="E64" s="8" t="s">
        <v>976</v>
      </c>
      <c r="F64" s="8" t="s">
        <v>385</v>
      </c>
      <c r="G64" s="8" t="s">
        <v>981</v>
      </c>
      <c r="H64" s="8" t="s">
        <v>980</v>
      </c>
      <c r="I64" s="8" t="s">
        <v>103</v>
      </c>
      <c r="J64" s="8" t="s">
        <v>1044</v>
      </c>
      <c r="K64" s="8" t="s">
        <v>1048</v>
      </c>
      <c r="L64" s="8" t="s">
        <v>1084</v>
      </c>
      <c r="M64" s="8" t="s">
        <v>1049</v>
      </c>
      <c r="N64" s="8" t="s">
        <v>1085</v>
      </c>
      <c r="O64" s="8" t="s">
        <v>1086</v>
      </c>
      <c r="P64" s="8" t="s">
        <v>959</v>
      </c>
      <c r="Q64" s="8" t="s">
        <v>1050</v>
      </c>
      <c r="R64" s="8" t="s">
        <v>965</v>
      </c>
      <c r="S64" s="8" t="s">
        <v>1100</v>
      </c>
      <c r="T64" s="8" t="s">
        <v>1099</v>
      </c>
      <c r="U64" s="25" t="s">
        <v>1108</v>
      </c>
    </row>
    <row r="65" spans="1:21">
      <c r="A65" t="s">
        <v>1091</v>
      </c>
      <c r="B65" t="e">
        <f>INT((SUM(R3:R7)*B42+SUM(S3:S7)*B45)*(1-(MEDIAN('伤害统计(原理想)'!M3+'伤害统计(原理想)'!N3+B55,0,100%)))*(1+22.85%*30%*1%*属性计算面板!B16+22.85%*70%*5%*属性计算面板!B16))</f>
        <v>#VALUE!</v>
      </c>
      <c r="C65" t="e">
        <f>INT((SUM('伤害统计(原理想)'!U16:U19)*(按提示输入属性!D36-按提示输入属性!D62-按提示输入属性!#REF!)+SUM('伤害统计(原理想)'!V16:V19)*(按提示输入属性!D62+按提示输入属性!#REF!))*(1-(MEDIAN(M16+B55,0,100%)))*(1+22.85%*30%*1%*属性计算面板!B16+22.85%*70%*5%*属性计算面板!B16))</f>
        <v>#VALUE!</v>
      </c>
      <c r="D65" t="e">
        <f>INT((L42*'伤害统计(原理想)'!R11+L45*'伤害统计(原理想)'!S11)*(1-(MEDIAN('伤害统计(原理想)'!M11+B55+'伤害统计(原理想)'!N11,0,100%)))*(1+22.85%*30%*1%*属性计算面板!B16+22.85%*70%*5%*属性计算面板!B16))</f>
        <v>#REF!</v>
      </c>
      <c r="E65" t="e">
        <f>INT(('伤害统计(原理想)'!R20*M42+'伤害统计(原理想)'!S20*M45)*(1-(MEDIAN(M20+B55,0,100%)))*(1+22.85%*30%*1%*属性计算面板!B16+22.85%*70%*5%*属性计算面板!B16))</f>
        <v>#VALUE!</v>
      </c>
      <c r="F65" t="e">
        <f>INT('伤害统计(原理想)'!R10*N42*(1-(MEDIAN(M10+N10+B55,0,100%)))*(1+22.85%*30%*1%*属性计算面板!B16+22.85%*70%*5%*属性计算面板!B16))</f>
        <v>#VALUE!</v>
      </c>
      <c r="G65" t="e">
        <f>INT(U27*O42*(1-(MEDIAN(M27+B55,0,100%)))*(1+22.85%*30%*1%*属性计算面板!B16+22.85%*70%*5%*属性计算面板!B16))*按提示输入属性!D59</f>
        <v>#VALUE!</v>
      </c>
      <c r="H65" t="e">
        <f>INT(U26*(1-(MEDIAN(M26+B55,0,100%)))*(1+22.85%*30%*1%*属性计算面板!B16+22.85%*70%*5%*属性计算面板!B16))*按提示输入属性!D60</f>
        <v>#VALUE!</v>
      </c>
      <c r="I65">
        <v>0</v>
      </c>
      <c r="J65" t="e">
        <f>INT((Q42*'伤害统计(原理想)'!R13+O45*'伤害统计(原理想)'!S13)*(1-(MEDIAN('伤害统计(原理想)'!M13+B55+'伤害统计(原理想)'!N13,0,100%)))*(1+22.85%*30%*1%*属性计算面板!B16+22.85%*70%*5%*属性计算面板!B16))</f>
        <v>#REF!</v>
      </c>
      <c r="K65" t="e">
        <f>INT((T42*'伤害统计(原理想)'!W14)*(1-(MEDIAN('伤害统计(原理想)'!M14+B55+'伤害统计(原理想)'!N14,0,100%)))*(1+22.85%*30%*1%*属性计算面板!B16+22.85%*70%*5%*属性计算面板!B16))</f>
        <v>#REF!</v>
      </c>
      <c r="L65" t="e">
        <f>INT((SUM(W3:W7)*R44)*(1-(MEDIAN('伤害统计(原理想)'!M3+'伤害统计(原理想)'!N3+B55,0,100%)))*(1+22.85%*30%*1%*属性计算面板!B16+22.85%*70%*5%*属性计算面板!B16))</f>
        <v>#REF!</v>
      </c>
      <c r="M65" t="e">
        <f>INT((U42*'伤害统计(原理想)'!W22)*(1-(MEDIAN('伤害统计(原理想)'!M22+B55+'伤害统计(原理想)'!N22,0,100%)))*(1+22.85%*30%*1%*属性计算面板!B16+22.85%*70%*5%*属性计算面板!B16))</f>
        <v>#REF!</v>
      </c>
      <c r="N65" t="e">
        <f>INT((W42*'伤害统计(原理想)'!R2)*(1-(MEDIAN('伤害统计(原理想)'!M2+B55+'伤害统计(原理想)'!N2,0,100%)))*(1+22.85%*30%*1%*属性计算面板!B16+22.85%*70%*5%*属性计算面板!B16))</f>
        <v>#VALUE!</v>
      </c>
      <c r="O65" t="e">
        <f>INT((W42*'伤害统计(原理想)'!R23)*(1-(MEDIAN('伤害统计(原理想)'!M23+B55+'伤害统计(原理想)'!N23,0,100%)))*(1+22.85%*30%*1%*属性计算面板!B16+22.85%*70%*5%*属性计算面板!B16))</f>
        <v>#VALUE!</v>
      </c>
      <c r="P65" t="e">
        <f>INT((W44*'伤害统计(原理想)'!W2)*(1-(MEDIAN('伤害统计(原理想)'!M2+B55+'伤害统计(原理想)'!N2,0,100%)))*(1+22.85%*30%*1%*属性计算面板!B16+22.85%*70%*5%*属性计算面板!B16))</f>
        <v>#REF!</v>
      </c>
      <c r="Q65" t="e">
        <f>INT((X44*T23)*(1-(MEDIAN('伤害统计(原理想)'!M23+B55+'伤害统计(原理想)'!N23,0,100%)))*(1+22.85%*30%*1%*属性计算面板!B16+22.85%*70%*5%*属性计算面板!B16))</f>
        <v>#REF!</v>
      </c>
      <c r="R65" t="e">
        <f>INT((X40*'伤害统计(原理想)'!R8+Q47*'伤害统计(原理想)'!S8)*(1-(MEDIAN('伤害统计(原理想)'!M8+B55+'伤害统计(原理想)'!N8,0,100%)))*(1+22.85%*30%*1%*属性计算面板!B16+22.85%*70%*5%*属性计算面板!B16))</f>
        <v>#VALUE!</v>
      </c>
      <c r="S65" t="e">
        <f>INT((Y42*'伤害统计(原理想)'!R12+O47*'伤害统计(原理想)'!S12)*(1-(MEDIAN('伤害统计(原理想)'!M12+B55+'伤害统计(原理想)'!N12,0,100%)))*(1+22.85%*30%*1%*属性计算面板!B16+22.85%*70%*5%*属性计算面板!B16))</f>
        <v>#REF!</v>
      </c>
      <c r="T65" t="e">
        <f>INT((Z42*'伤害统计(原理想)'!R21+P47*'伤害统计(原理想)'!S21)*(1-(MEDIAN('伤害统计(原理想)'!M21+B55+'伤害统计(原理想)'!N21,0,100%)))*(1+22.85%*30%*1%*属性计算面板!B16+22.85%*70%*5%*属性计算面板!B16))</f>
        <v>#VALUE!</v>
      </c>
      <c r="U65" t="e">
        <f>INT((V47*T47*(X31*(MEDIAN('伤害统计(原理想)'!M31+B55+'伤害统计(原理想)'!N31,0,100%))+W31*(MEDIAN(1-'伤害统计(原理想)'!M31-B55-'伤害统计(原理想)'!N31,0,100%))))*按提示输入属性!D42*3*(1+22.85%*30%*1%*属性计算面板!B16+22.85%*70%*5%*属性计算面板!B16))</f>
        <v>#REF!</v>
      </c>
    </row>
    <row r="66" spans="2:20">
      <c r="B66" s="18" t="s">
        <v>383</v>
      </c>
      <c r="C66" s="18" t="s">
        <v>999</v>
      </c>
      <c r="D66" s="18" t="s">
        <v>1044</v>
      </c>
      <c r="E66" s="18" t="s">
        <v>976</v>
      </c>
      <c r="F66" s="18" t="s">
        <v>385</v>
      </c>
      <c r="G66" s="18" t="s">
        <v>1047</v>
      </c>
      <c r="H66" s="18" t="s">
        <v>364</v>
      </c>
      <c r="I66" s="18" t="s">
        <v>981</v>
      </c>
      <c r="J66" s="18" t="s">
        <v>980</v>
      </c>
      <c r="K66" s="18" t="s">
        <v>103</v>
      </c>
      <c r="L66" s="18" t="s">
        <v>1045</v>
      </c>
      <c r="M66" s="18" t="s">
        <v>977</v>
      </c>
      <c r="N66" s="18" t="s">
        <v>959</v>
      </c>
      <c r="O66" s="18" t="s">
        <v>1050</v>
      </c>
      <c r="P66" s="18"/>
      <c r="Q66" s="18" t="s">
        <v>1043</v>
      </c>
      <c r="R66" s="18" t="s">
        <v>966</v>
      </c>
      <c r="S66" s="18" t="s">
        <v>70</v>
      </c>
      <c r="T66" s="18" t="s">
        <v>1107</v>
      </c>
    </row>
    <row r="67" spans="1:20">
      <c r="A67" t="s">
        <v>1092</v>
      </c>
      <c r="B67" t="e">
        <f>INT(SUM(Q3:Q7)*B40*(1-(MEDIAN(M3+N3,0,100%)))*(1+22.85%*30%*1%*属性计算面板!B16+22.85%*70%*5%*属性计算面板!B16))</f>
        <v>#VALUE!</v>
      </c>
      <c r="C67" t="e">
        <f>INT(SUM(Q15:Q19)*H40*(1-(MEDIAN(M16+N16,0,100%))))+INT(Q15*(G40-H40)*(1-(MEDIAN(M16+N16,0,100%)))*(1+22.85%*30%*1%*属性计算面板!B16+22.85%*70%*5%*属性计算面板!B16))</f>
        <v>#VALUE!</v>
      </c>
      <c r="D67" t="e">
        <f>INT(SUM(Q13)*S40*(1-(MEDIAN(M13+N13,0,100%)))*(1+22.85%*30%*1%*属性计算面板!B16+22.85%*70%*5%*属性计算面板!B16))</f>
        <v>#REF!</v>
      </c>
      <c r="E67" t="e">
        <f>INT(SUM(Q20)*M40*(1-(MEDIAN(M20+N20,0,100%)))*(1+22.85%*30%*1%*属性计算面板!B16+22.85%*70%*5%*属性计算面板!B16))</f>
        <v>#VALUE!</v>
      </c>
      <c r="F67" t="e">
        <f>INT(SUM(Q10)*N40*(1-(MEDIAN(M10+N10,0,100%)))*(1+22.85%*30%*1%*属性计算面板!B16+22.85%*70%*5%*属性计算面板!B16))</f>
        <v>#VALUE!</v>
      </c>
      <c r="G67" t="e">
        <f>INT(SUM(Q24)*O40*(1-(MEDIAN(M24+N24,0,100%)))*(1+22.85%*30%*1%*属性计算面板!B16+22.85%*70%*5%*属性计算面板!B16))</f>
        <v>#VALUE!</v>
      </c>
      <c r="H67" t="e">
        <f>INT(SUM(Q25)*P40*(1-(MEDIAN(M25+N25,0,100%)))*(1+22.85%*30%*1%*属性计算面板!B16+22.85%*70%*5%*属性计算面板!B16))</f>
        <v>#VALUE!</v>
      </c>
      <c r="I67" t="e">
        <f>INT(SUM(T27)*Q40*(1-(MEDIAN(M27+N27,0,100%)))*(1+22.85%*30%*1%*属性计算面板!B16+22.85%*70%*5%*属性计算面板!B16))</f>
        <v>#VALUE!</v>
      </c>
      <c r="J67" t="e">
        <f>INT(SUM(Q26)*R40*(1-(MEDIAN(M26+N26,0,100%)))*(1+22.85%*30%*1%*属性计算面板!B16+22.85%*70%*5%*属性计算面板!B16))</f>
        <v>#VALUE!</v>
      </c>
      <c r="K67">
        <v>0</v>
      </c>
      <c r="L67" t="e">
        <f>INT(SUM(Q14)*T40*(1-(MEDIAN(M14+N14,0,100%)))*(1+22.85%*30%*1%*属性计算面板!B16+22.85%*70%*5%*属性计算面板!B16))</f>
        <v>#REF!</v>
      </c>
      <c r="M67" t="e">
        <f>INT(SUM(Q22)*U40*(1-(MEDIAN(M22+N22,0,100%)))*(1+22.85%*30%*1%*属性计算面板!B16+22.85%*70%*5%*属性计算面板!B16))</f>
        <v>#VALUE!</v>
      </c>
      <c r="N67" t="e">
        <f>INT(SUM(Q2)*V40*(1-(MEDIAN(M2+N2,0,100%)))*(1+22.85%*30%*1%*属性计算面板!B16+22.85%*70%*5%*属性计算面板!B16))</f>
        <v>#VALUE!</v>
      </c>
      <c r="O67" t="e">
        <f>INT(V42*Q23*(1-(MEDIAN(M2+N2,0,100%)))*(1+22.85%*30%*1%*属性计算面板!B16+22.85%*70%*5%*属性计算面板!B16))</f>
        <v>#VALUE!</v>
      </c>
      <c r="Q67" t="e">
        <f>INT(SUM(Q11)*L40*(1-(MEDIAN(M11+N11,0,100%)))*(1+22.85%*30%*1%*属性计算面板!B16+22.85%*70%*5%*属性计算面板!B16))</f>
        <v>#REF!</v>
      </c>
      <c r="R67" t="e">
        <f>INT(SUM(Q9)*W40*(1-(MEDIAN(M9+N9,0,100%)))*(1+22.85%*30%*1%*属性计算面板!B16+22.85%*70%*5%*属性计算面板!B16))</f>
        <v>#VALUE!</v>
      </c>
      <c r="S67" t="e">
        <f>INT(T29*按提示输入属性!D34*(MEDIAN(1-M29-N29,0,100%))*(1+22.85%*30%*1%*属性计算面板!B16+22.85%*70%*5%*属性计算面板!B16))</f>
        <v>#VALUE!</v>
      </c>
      <c r="T67" t="e">
        <f>INT(SUM(Q30)*6*按提示输入属性!D34*(1-(MEDIAN(M30+N30,0,100%)))*(1+22.85%*30%*1%*属性计算面板!B16+22.85%*70%*5%*属性计算面板!B16))</f>
        <v>#VALUE!</v>
      </c>
    </row>
    <row r="68" spans="4:14">
      <c r="D68" t="e">
        <f>D67*(属性计算面板!B4+10%+4%)*30%/(S40+T40)*N40*(属性计算面板!B5+20%)*按提示输入属性!#REF!</f>
        <v>#REF!</v>
      </c>
      <c r="N68" t="e">
        <f>INT(N67*0.4*0.25)*按提示输入属性!D53</f>
        <v>#VALUE!</v>
      </c>
    </row>
    <row r="70" spans="1:9">
      <c r="A70" t="s">
        <v>996</v>
      </c>
      <c r="B70" t="e">
        <f>(SUM(B60:W60)+SUM(B62:U63)+SUM(B67:T68)+SUM(B65:U65))</f>
        <v>#VALUE!</v>
      </c>
      <c r="D70" t="e">
        <f>SUM(B62:T63)+SUM(B67:T68)</f>
        <v>#VALUE!</v>
      </c>
      <c r="E70" t="e">
        <f>SUM(B60:U60)+SUM(B65:T65)-K65-L65-M65</f>
        <v>#VALUE!</v>
      </c>
      <c r="F70" t="e">
        <f>E70/B70</f>
        <v>#VALUE!</v>
      </c>
      <c r="I70" t="e">
        <f>'伤害统计(原理想)'!L45+'伤害统计(原理想)'!O47+'伤害统计(原理想)'!P45+'伤害统计(原理想)'!L42+'伤害统计(原理想)'!Q42+'伤害统计(原理想)'!R42+'伤害统计(原理想)'!T42+'伤害统计(原理想)'!Y42</f>
        <v>#REF!</v>
      </c>
    </row>
    <row r="75" spans="1:1">
      <c r="A75" t="s">
        <v>996</v>
      </c>
    </row>
    <row r="76" spans="2:7">
      <c r="B76" t="s">
        <v>254</v>
      </c>
      <c r="C76" t="s">
        <v>997</v>
      </c>
      <c r="D76" t="s">
        <v>258</v>
      </c>
      <c r="E76" t="s">
        <v>259</v>
      </c>
      <c r="G76" t="s">
        <v>1109</v>
      </c>
    </row>
    <row r="77" spans="1:7">
      <c r="A77">
        <v>1</v>
      </c>
      <c r="B77" t="s">
        <v>976</v>
      </c>
      <c r="C77" t="e">
        <f t="shared" ref="C77:C92" si="11">G77</f>
        <v>#VALUE!</v>
      </c>
      <c r="D77" t="e">
        <f>INT('伤害统计(原理想)'!E60+'伤害统计(原理想)'!E62+'伤害统计(原理想)'!E65+'伤害统计(原理想)'!E67+'伤害统计(原理想)'!P62+'伤害统计(原理想)'!R62+'伤害统计(原理想)'!M67+'伤害统计(原理想)'!O67+'伤害统计(原理想)'!N60+'伤害统计(原理想)'!M65+'伤害统计(原理想)'!R60+'伤害统计(原理想)'!Q65+'伤害统计(原理想)'!U60+'伤害统计(原理想)'!T65)</f>
        <v>#REF!</v>
      </c>
      <c r="E77" s="22" t="e">
        <f t="shared" ref="E77:E92" si="12">D77/SUM(D$77:D$92)</f>
        <v>#REF!</v>
      </c>
      <c r="G77" t="e">
        <f>'伤害统计(原理想)'!M40+'伤害统计(原理想)'!U40+'伤害统计(原理想)'!V42+'伤害统计(原理想)'!M42+'伤害统计(原理想)'!M45+'伤害统计(原理想)'!U42+'伤害统计(原理想)'!X42+'伤害统计(原理想)'!X44+'伤害统计(原理想)'!Z42+'伤害统计(原理想)'!P47</f>
        <v>#VALUE!</v>
      </c>
    </row>
    <row r="78" spans="1:7">
      <c r="A78">
        <v>2</v>
      </c>
      <c r="B78" t="s">
        <v>383</v>
      </c>
      <c r="C78" t="e">
        <f t="shared" si="11"/>
        <v>#VALUE!</v>
      </c>
      <c r="D78" t="e">
        <f>'伤害统计(原理想)'!B60+'伤害统计(原理想)'!B62+'伤害统计(原理想)'!B65+'伤害统计(原理想)'!B67+'伤害统计(原理想)'!M60+'伤害统计(原理想)'!L65</f>
        <v>#VALUE!</v>
      </c>
      <c r="E78" s="22" t="e">
        <f t="shared" si="12"/>
        <v>#VALUE!</v>
      </c>
      <c r="G78" t="e">
        <f>SUM('伤害统计(原理想)'!B40:F40)+SUM('伤害统计(原理想)'!B42:F42)+SUM('伤害统计(原理想)'!B45:F45)+SUM('伤害统计(原理想)'!R44:V44)</f>
        <v>#VALUE!</v>
      </c>
    </row>
    <row r="79" spans="1:7">
      <c r="A79">
        <v>3</v>
      </c>
      <c r="B79" t="s">
        <v>384</v>
      </c>
      <c r="C79" t="e">
        <f t="shared" si="11"/>
        <v>#VALUE!</v>
      </c>
      <c r="D79" t="e">
        <f>'伤害统计(原理想)'!D60+'伤害统计(原理想)'!D62+'伤害统计(原理想)'!D65+'伤害统计(原理想)'!D67+'伤害统计(原理想)'!J60+'伤害统计(原理想)'!O62+'伤害统计(原理想)'!L67+'伤害统计(原理想)'!K60+'伤害统计(原理想)'!K65+'伤害统计(原理想)'!T60+'伤害统计(原理想)'!S65</f>
        <v>#REF!</v>
      </c>
      <c r="E79" s="22" t="e">
        <f t="shared" si="12"/>
        <v>#REF!</v>
      </c>
      <c r="G79" t="e">
        <f>'伤害统计(原理想)'!S40+'伤害统计(原理想)'!T40+'伤害统计(原理想)'!L42+'伤害统计(原理想)'!Q42+'伤害统计(原理想)'!L45+'伤害统计(原理想)'!O45+'伤害统计(原理想)'!L40+'伤害统计(原理想)'!T42+'伤害统计(原理想)'!Y42+'伤害统计(原理想)'!O47</f>
        <v>#VALUE!</v>
      </c>
    </row>
    <row r="80" spans="1:7">
      <c r="A80">
        <v>4</v>
      </c>
      <c r="B80" t="s">
        <v>965</v>
      </c>
      <c r="C80" t="e">
        <f t="shared" si="11"/>
        <v>#VALUE!</v>
      </c>
      <c r="D80" t="e">
        <f>'伤害统计(原理想)'!S60+'伤害统计(原理想)'!R65</f>
        <v>#VALUE!</v>
      </c>
      <c r="E80" s="22" t="e">
        <f t="shared" si="12"/>
        <v>#VALUE!</v>
      </c>
      <c r="G80" t="e">
        <f>'伤害统计(原理想)'!X40+'伤害统计(原理想)'!Q47</f>
        <v>#VALUE!</v>
      </c>
    </row>
    <row r="81" spans="1:7">
      <c r="A81">
        <v>5</v>
      </c>
      <c r="B81" t="s">
        <v>999</v>
      </c>
      <c r="C81" t="e">
        <f t="shared" si="11"/>
        <v>#VALUE!</v>
      </c>
      <c r="D81" t="e">
        <f>'伤害统计(原理想)'!C60+'伤害统计(原理想)'!C62+'伤害统计(原理想)'!C65+'伤害统计(原理想)'!C67</f>
        <v>#VALUE!</v>
      </c>
      <c r="E81" s="22" t="e">
        <f t="shared" si="12"/>
        <v>#VALUE!</v>
      </c>
      <c r="G81" t="e">
        <f>SUM('伤害统计(原理想)'!G40:K40)+SUM('伤害统计(原理想)'!G42:K42)+SUM('伤害统计(原理想)'!G45:K45)+'伤害统计(原理想)'!W40*4*按提示输入属性!D64</f>
        <v>#VALUE!</v>
      </c>
    </row>
    <row r="82" spans="1:7">
      <c r="A82">
        <v>6</v>
      </c>
      <c r="B82" t="s">
        <v>385</v>
      </c>
      <c r="C82" t="e">
        <f t="shared" si="11"/>
        <v>#VALUE!</v>
      </c>
      <c r="D82" t="e">
        <f>'伤害统计(原理想)'!F60+'伤害统计(原理想)'!F62+'伤害统计(原理想)'!F65+'伤害统计(原理想)'!F67</f>
        <v>#VALUE!</v>
      </c>
      <c r="E82" s="22" t="e">
        <f t="shared" si="12"/>
        <v>#VALUE!</v>
      </c>
      <c r="G82" t="e">
        <f>'伤害统计(原理想)'!N40+'伤害统计(原理想)'!N42</f>
        <v>#VALUE!</v>
      </c>
    </row>
    <row r="83" spans="1:7">
      <c r="A83">
        <v>7</v>
      </c>
      <c r="B83" t="s">
        <v>1000</v>
      </c>
      <c r="C83" t="e">
        <f t="shared" si="11"/>
        <v>#REF!</v>
      </c>
      <c r="D83" t="e">
        <f>'伤害统计(原理想)'!Q62+'伤害统计(原理想)'!N67+'伤害统计(原理想)'!Q63+'伤害统计(原理想)'!N68+'伤害统计(原理想)'!Q60+'伤害统计(原理想)'!P65+O60+N65</f>
        <v>#VALUE!</v>
      </c>
      <c r="E83" s="22" t="e">
        <f t="shared" si="12"/>
        <v>#VALUE!</v>
      </c>
      <c r="G83" t="e">
        <f>'伤害统计(原理想)'!V40+'伤害统计(原理想)'!W42+'伤害统计(原理想)'!W44</f>
        <v>#REF!</v>
      </c>
    </row>
    <row r="84" spans="1:7">
      <c r="A84">
        <v>8</v>
      </c>
      <c r="B84" t="s">
        <v>1002</v>
      </c>
      <c r="C84">
        <f t="shared" si="11"/>
        <v>0</v>
      </c>
      <c r="D84" t="e">
        <f>'伤害统计(原理想)'!L62+'伤害统计(原理想)'!S67</f>
        <v>#VALUE!</v>
      </c>
      <c r="E84" s="22" t="e">
        <f t="shared" si="12"/>
        <v>#VALUE!</v>
      </c>
      <c r="G84">
        <f>按提示输入属性!D34</f>
        <v>0</v>
      </c>
    </row>
    <row r="85" spans="1:7">
      <c r="A85">
        <v>9</v>
      </c>
      <c r="B85" t="s">
        <v>1003</v>
      </c>
      <c r="C85">
        <f t="shared" si="11"/>
        <v>0</v>
      </c>
      <c r="D85">
        <f>'伤害统计(原理想)'!L60</f>
        <v>0</v>
      </c>
      <c r="E85" s="22" t="e">
        <f t="shared" si="12"/>
        <v>#REF!</v>
      </c>
      <c r="G85">
        <f>按提示输入属性!D35</f>
        <v>0</v>
      </c>
    </row>
    <row r="86" spans="1:7">
      <c r="A86">
        <v>10</v>
      </c>
      <c r="B86" t="s">
        <v>364</v>
      </c>
      <c r="C86">
        <f t="shared" si="11"/>
        <v>0</v>
      </c>
      <c r="D86" t="e">
        <f>'伤害统计(原理想)'!H62</f>
        <v>#VALUE!</v>
      </c>
      <c r="E86" s="22" t="e">
        <f t="shared" si="12"/>
        <v>#VALUE!</v>
      </c>
      <c r="G86">
        <f>'伤害统计(原理想)'!P40</f>
        <v>0</v>
      </c>
    </row>
    <row r="87" spans="1:7">
      <c r="A87">
        <v>11</v>
      </c>
      <c r="B87" t="s">
        <v>981</v>
      </c>
      <c r="C87" t="e">
        <f t="shared" si="11"/>
        <v>#VALUE!</v>
      </c>
      <c r="D87" t="e">
        <f>'伤害统计(原理想)'!G60+'伤害统计(原理想)'!I62+'伤害统计(原理想)'!G65+'伤害统计(原理想)'!I67</f>
        <v>#VALUE!</v>
      </c>
      <c r="E87" s="22" t="e">
        <f t="shared" si="12"/>
        <v>#VALUE!</v>
      </c>
      <c r="G87" t="e">
        <f>'伤害统计(原理想)'!Q40+'伤害统计(原理想)'!O42</f>
        <v>#VALUE!</v>
      </c>
    </row>
    <row r="88" spans="1:7">
      <c r="A88">
        <v>12</v>
      </c>
      <c r="B88" t="s">
        <v>1004</v>
      </c>
      <c r="C88">
        <f t="shared" si="11"/>
        <v>0</v>
      </c>
      <c r="D88" t="e">
        <f>'伤害统计(原理想)'!N62+'伤害统计(原理想)'!T67</f>
        <v>#VALUE!</v>
      </c>
      <c r="E88" s="22" t="e">
        <f t="shared" si="12"/>
        <v>#VALUE!</v>
      </c>
      <c r="G88">
        <f>6*按提示输入属性!D34</f>
        <v>0</v>
      </c>
    </row>
    <row r="89" spans="1:7">
      <c r="A89">
        <v>13</v>
      </c>
      <c r="B89" t="s">
        <v>980</v>
      </c>
      <c r="C89" t="e">
        <f t="shared" si="11"/>
        <v>#VALUE!</v>
      </c>
      <c r="D89" t="e">
        <f>'伤害统计(原理想)'!H60+'伤害统计(原理想)'!J62+'伤害统计(原理想)'!H65+'伤害统计(原理想)'!J67</f>
        <v>#VALUE!</v>
      </c>
      <c r="E89" s="22" t="e">
        <f t="shared" si="12"/>
        <v>#VALUE!</v>
      </c>
      <c r="G89" t="e">
        <f>'伤害统计(原理想)'!R40+'伤害统计(原理想)'!P42</f>
        <v>#VALUE!</v>
      </c>
    </row>
    <row r="90" spans="1:7">
      <c r="A90">
        <v>14</v>
      </c>
      <c r="B90" t="s">
        <v>966</v>
      </c>
      <c r="C90">
        <f t="shared" si="11"/>
        <v>7</v>
      </c>
      <c r="D90" t="e">
        <f>'伤害统计(原理想)'!R67+'伤害统计(原理想)'!T62</f>
        <v>#VALUE!</v>
      </c>
      <c r="E90" s="22" t="e">
        <f t="shared" si="12"/>
        <v>#VALUE!</v>
      </c>
      <c r="G90">
        <f>'伤害统计(原理想)'!W40</f>
        <v>7</v>
      </c>
    </row>
    <row r="91" spans="1:7">
      <c r="A91">
        <v>15</v>
      </c>
      <c r="B91" t="s">
        <v>979</v>
      </c>
      <c r="C91">
        <f t="shared" si="11"/>
        <v>0</v>
      </c>
      <c r="D91" t="e">
        <f>'伤害统计(原理想)'!G62+'伤害统计(原理想)'!G67</f>
        <v>#VALUE!</v>
      </c>
      <c r="E91" s="22" t="e">
        <f t="shared" si="12"/>
        <v>#VALUE!</v>
      </c>
      <c r="G91">
        <f>'伤害统计(原理想)'!O40</f>
        <v>0</v>
      </c>
    </row>
    <row r="92" spans="1:7">
      <c r="A92">
        <v>16</v>
      </c>
      <c r="B92" t="s">
        <v>983</v>
      </c>
      <c r="C92" t="e">
        <f t="shared" si="11"/>
        <v>#REF!</v>
      </c>
      <c r="D92" t="e">
        <f>V60+U62+U65+W60</f>
        <v>#VALUE!</v>
      </c>
      <c r="E92" s="22" t="e">
        <f t="shared" si="12"/>
        <v>#VALUE!</v>
      </c>
      <c r="G92" t="e">
        <f>(S47+T47+U47)*V47</f>
        <v>#REF!</v>
      </c>
    </row>
  </sheetData>
  <mergeCells count="3">
    <mergeCell ref="A35:P35"/>
    <mergeCell ref="A38:P38"/>
    <mergeCell ref="A43:Q43"/>
  </mergeCells>
  <conditionalFormatting sqref="D77:D9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{41579e6e-711d-4b71-bb2f-6626fbd9f936}</x14:id>
        </ext>
      </extLst>
    </cfRule>
  </conditionalFormatting>
  <pageMargins left="0.75" right="0.75" top="1" bottom="1" header="0.5" footer="0.5"/>
  <pageSetup paperSize="9" orientation="portrait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1579e6e-711d-4b71-bb2f-6626fbd9f93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D77:D92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55" sqref="B55"/>
    </sheetView>
  </sheetViews>
  <sheetFormatPr defaultColWidth="9.64166666666667" defaultRowHeight="13.5" outlineLevelCol="7"/>
  <cols>
    <col min="2" max="2" width="15" customWidth="1"/>
    <col min="4" max="5" width="12.625"/>
  </cols>
  <sheetData>
    <row r="1" spans="1:1">
      <c r="A1" t="s">
        <v>996</v>
      </c>
    </row>
    <row r="2" spans="2:7">
      <c r="B2" t="s">
        <v>254</v>
      </c>
      <c r="C2" t="s">
        <v>997</v>
      </c>
      <c r="D2" t="s">
        <v>258</v>
      </c>
      <c r="E2" t="s">
        <v>259</v>
      </c>
      <c r="G2" t="s">
        <v>1109</v>
      </c>
    </row>
    <row r="3" spans="1:8">
      <c r="A3">
        <v>1</v>
      </c>
      <c r="B3" t="s">
        <v>976</v>
      </c>
      <c r="C3" t="e">
        <f>G3</f>
        <v>#VALUE!</v>
      </c>
      <c r="D3" t="e">
        <f>INT('伤害统计(理想)'!F63+'伤害统计(理想)'!F65+'伤害统计(理想)'!F70+'伤害统计(理想)'!F72+'伤害统计(理想)'!U65+'伤害统计(理想)'!AD65+'伤害统计(理想)'!O72+'伤害统计(理想)'!T72+'伤害统计(理想)'!P63+'伤害统计(理想)'!O70+'伤害统计(理想)'!AD63+'伤害统计(理想)'!AC70+'伤害统计(理想)'!AG63+'伤害统计(理想)'!AF70)</f>
        <v>#VALUE!</v>
      </c>
      <c r="E3" s="22" t="e">
        <f>D3/SUM(D:D)</f>
        <v>#VALUE!</v>
      </c>
      <c r="G3" t="e">
        <f>'伤害统计(理想)'!O43+'伤害统计(理想)'!AG43+'伤害统计(理想)'!AH45+'伤害统计(理想)'!O45+'伤害统计(理想)'!O48+'伤害统计(理想)'!AG45+'伤害统计(理想)'!AJ45+'伤害统计(理想)'!AJ47+'伤害统计(理想)'!AN45+'伤害统计(理想)'!U50</f>
        <v>#VALUE!</v>
      </c>
      <c r="H3" t="e">
        <f>G3*按提示输入属性!D39</f>
        <v>#VALUE!</v>
      </c>
    </row>
    <row r="4" spans="1:8">
      <c r="A4">
        <v>2</v>
      </c>
      <c r="B4" t="s">
        <v>383</v>
      </c>
      <c r="C4">
        <f t="shared" ref="C4:C17" si="0">G4</f>
        <v>135</v>
      </c>
      <c r="D4" t="e">
        <f>'伤害统计(理想)'!B63+'伤害统计(理想)'!B65+'伤害统计(理想)'!B70+'伤害统计(理想)'!B72+'伤害统计(理想)'!O63+'伤害统计(理想)'!N70</f>
        <v>#VALUE!</v>
      </c>
      <c r="E4" s="22" t="e">
        <f>D4/SUM(D:D)</f>
        <v>#VALUE!</v>
      </c>
      <c r="G4">
        <f>SUM('伤害统计(理想)'!B43:G43)+SUM('伤害统计(理想)'!B45:G45)+SUM('伤害统计(理想)'!B48:G48)+SUM('伤害统计(理想)'!AD47:AH47)</f>
        <v>135</v>
      </c>
      <c r="H4">
        <f>G4*按提示输入属性!D39</f>
        <v>0</v>
      </c>
    </row>
    <row r="5" spans="1:8">
      <c r="A5">
        <v>3</v>
      </c>
      <c r="B5" t="s">
        <v>384</v>
      </c>
      <c r="C5">
        <f t="shared" si="0"/>
        <v>19</v>
      </c>
      <c r="D5" t="e">
        <f>'伤害统计(理想)'!E63+'伤害统计(理想)'!E65+'伤害统计(理想)'!E70+'伤害统计(理想)'!E72+'伤害统计(理想)'!L63+'伤害统计(理想)'!T65+'伤害统计(理想)'!N72+'伤害统计(理想)'!M63+'伤害统计(理想)'!M70+'伤害统计(理想)'!AF63+'伤害统计(理想)'!AE70</f>
        <v>#VALUE!</v>
      </c>
      <c r="E5" s="22" t="e">
        <f>D5/SUM(D:D)</f>
        <v>#VALUE!</v>
      </c>
      <c r="G5">
        <f>'伤害统计(理想)'!AE43+'伤害统计(理想)'!AF43+'伤害统计(理想)'!N45+'伤害统计(理想)'!AC45+'伤害统计(理想)'!N48+'伤害统计(理想)'!T48+'伤害统计(理想)'!N43+'伤害统计(理想)'!AF45+'伤害统计(理想)'!AM45+'伤害统计(理想)'!T50</f>
        <v>19</v>
      </c>
      <c r="H5">
        <f>G5*按提示输入属性!D39</f>
        <v>0</v>
      </c>
    </row>
    <row r="6" spans="1:7">
      <c r="A6">
        <v>4</v>
      </c>
      <c r="B6" t="s">
        <v>965</v>
      </c>
      <c r="C6">
        <f t="shared" si="0"/>
        <v>0</v>
      </c>
      <c r="D6">
        <f>'伤害统计(理想)'!AE63+'伤害统计(理想)'!AD70</f>
        <v>0</v>
      </c>
      <c r="E6" s="22" t="e">
        <f>D6/SUM(D:D)</f>
        <v>#VALUE!</v>
      </c>
      <c r="G6">
        <f>'伤害统计(理想)'!AJ43+'伤害统计(理想)'!AC50</f>
        <v>0</v>
      </c>
    </row>
    <row r="7" spans="1:8">
      <c r="A7">
        <v>5</v>
      </c>
      <c r="B7" t="s">
        <v>999</v>
      </c>
      <c r="C7">
        <f t="shared" si="0"/>
        <v>154</v>
      </c>
      <c r="D7" t="e">
        <f>'伤害统计(理想)'!D63+'伤害统计(理想)'!D65+'伤害统计(理想)'!D70+'伤害统计(理想)'!D72</f>
        <v>#VALUE!</v>
      </c>
      <c r="E7" s="22" t="e">
        <f>D7/SUM(D:D)</f>
        <v>#VALUE!</v>
      </c>
      <c r="G7">
        <f>SUM('伤害统计(理想)'!H43:M43)+SUM('伤害统计(理想)'!H45:M45)+SUM('伤害统计(理想)'!H48:M48)+'伤害统计(理想)'!AI43*4*按提示输入属性!D64</f>
        <v>154</v>
      </c>
      <c r="H7">
        <f>G7*按提示输入属性!D39</f>
        <v>0</v>
      </c>
    </row>
    <row r="8" spans="1:8">
      <c r="A8">
        <v>6</v>
      </c>
      <c r="B8" t="s">
        <v>385</v>
      </c>
      <c r="C8">
        <f t="shared" si="0"/>
        <v>233</v>
      </c>
      <c r="D8" t="e">
        <f>'伤害统计(理想)'!G63+'伤害统计(理想)'!G65+'伤害统计(理想)'!G70+'伤害统计(理想)'!G72</f>
        <v>#VALUE!</v>
      </c>
      <c r="E8" s="22" t="e">
        <f>D8/SUM(D:D)</f>
        <v>#VALUE!</v>
      </c>
      <c r="G8">
        <f>'伤害统计(理想)'!P43+'伤害统计(理想)'!P45</f>
        <v>233</v>
      </c>
      <c r="H8">
        <f>G8*按提示输入属性!D39</f>
        <v>0</v>
      </c>
    </row>
    <row r="9" spans="1:8">
      <c r="A9">
        <v>7</v>
      </c>
      <c r="B9" t="s">
        <v>1000</v>
      </c>
      <c r="C9">
        <f t="shared" si="0"/>
        <v>0</v>
      </c>
      <c r="D9">
        <f>'伤害统计(理想)'!AC65+'伤害统计(理想)'!P72+'伤害统计(理想)'!AC68+'伤害统计(理想)'!P73+'伤害统计(理想)'!AC63+'伤害统计(理想)'!U70</f>
        <v>0</v>
      </c>
      <c r="E9" s="22" t="e">
        <f>D9/SUM(D:D)</f>
        <v>#VALUE!</v>
      </c>
      <c r="G9">
        <f>'伤害统计(理想)'!AH43+'伤害统计(理想)'!AI45+'伤害统计(理想)'!AI47</f>
        <v>0</v>
      </c>
      <c r="H9">
        <f>G9*按提示输入属性!D39</f>
        <v>0</v>
      </c>
    </row>
    <row r="10" spans="1:8">
      <c r="A10">
        <v>8</v>
      </c>
      <c r="B10" t="s">
        <v>1002</v>
      </c>
      <c r="C10">
        <f t="shared" si="0"/>
        <v>0</v>
      </c>
      <c r="D10">
        <f>'伤害统计(理想)'!N65+'伤害统计(理想)'!AE72</f>
        <v>0</v>
      </c>
      <c r="E10" s="22" t="e">
        <f>D10/SUM(D:D)</f>
        <v>#VALUE!</v>
      </c>
      <c r="G10">
        <f>按提示输入属性!D34</f>
        <v>0</v>
      </c>
      <c r="H10">
        <f>G10*按提示输入属性!D39</f>
        <v>0</v>
      </c>
    </row>
    <row r="11" spans="1:8">
      <c r="A11">
        <v>9</v>
      </c>
      <c r="B11" t="s">
        <v>1003</v>
      </c>
      <c r="C11">
        <f t="shared" si="0"/>
        <v>0</v>
      </c>
      <c r="D11">
        <f>'伤害统计(理想)'!N63</f>
        <v>0</v>
      </c>
      <c r="E11" s="22" t="e">
        <f>D11/SUM(D:D)</f>
        <v>#VALUE!</v>
      </c>
      <c r="G11">
        <f>按提示输入属性!D35</f>
        <v>0</v>
      </c>
      <c r="H11">
        <f>G11*按提示输入属性!D39</f>
        <v>0</v>
      </c>
    </row>
    <row r="12" spans="1:8">
      <c r="A12">
        <v>10</v>
      </c>
      <c r="B12" t="s">
        <v>364</v>
      </c>
      <c r="C12">
        <f t="shared" si="0"/>
        <v>0</v>
      </c>
      <c r="D12">
        <f>'伤害统计(理想)'!I65</f>
        <v>0</v>
      </c>
      <c r="E12" s="22" t="e">
        <f>D12/SUM(D:D)</f>
        <v>#VALUE!</v>
      </c>
      <c r="G12">
        <f>'伤害统计(理想)'!U43</f>
        <v>0</v>
      </c>
      <c r="H12">
        <f>G12*按提示输入属性!D39</f>
        <v>0</v>
      </c>
    </row>
    <row r="13" spans="1:8">
      <c r="A13">
        <v>11</v>
      </c>
      <c r="B13" t="s">
        <v>981</v>
      </c>
      <c r="C13">
        <f t="shared" si="0"/>
        <v>0</v>
      </c>
      <c r="D13" t="e">
        <f>'伤害统计(理想)'!H63+'伤害统计(理想)'!J65+'伤害统计(理想)'!H70+'伤害统计(理想)'!J72</f>
        <v>#VALUE!</v>
      </c>
      <c r="E13" s="22" t="e">
        <f>D13/SUM(D:D)</f>
        <v>#VALUE!</v>
      </c>
      <c r="G13">
        <f>'伤害统计(理想)'!AC43+'伤害统计(理想)'!T45</f>
        <v>0</v>
      </c>
      <c r="H13">
        <f>G13*按提示输入属性!D39</f>
        <v>0</v>
      </c>
    </row>
    <row r="14" spans="1:8">
      <c r="A14">
        <v>12</v>
      </c>
      <c r="B14" t="s">
        <v>1004</v>
      </c>
      <c r="C14">
        <f t="shared" si="0"/>
        <v>0</v>
      </c>
      <c r="D14">
        <f>'伤害统计(理想)'!P65+'伤害统计(理想)'!AF72</f>
        <v>0</v>
      </c>
      <c r="E14" s="22" t="e">
        <f>D14/SUM(D:D)</f>
        <v>#VALUE!</v>
      </c>
      <c r="G14">
        <f>6*按提示输入属性!D34</f>
        <v>0</v>
      </c>
      <c r="H14">
        <f>G14*按提示输入属性!D39</f>
        <v>0</v>
      </c>
    </row>
    <row r="15" spans="1:8">
      <c r="A15">
        <v>13</v>
      </c>
      <c r="B15" t="s">
        <v>980</v>
      </c>
      <c r="C15">
        <f t="shared" si="0"/>
        <v>0</v>
      </c>
      <c r="D15" t="e">
        <f>'伤害统计(理想)'!I63+'伤害统计(理想)'!L65+'伤害统计(理想)'!I70+'伤害统计(理想)'!L72</f>
        <v>#VALUE!</v>
      </c>
      <c r="E15" s="22" t="e">
        <f>D15/SUM(D:D)</f>
        <v>#VALUE!</v>
      </c>
      <c r="G15">
        <f>'伤害统计(理想)'!AD43+'伤害统计(理想)'!U45</f>
        <v>0</v>
      </c>
      <c r="H15">
        <f>G15*按提示输入属性!D39</f>
        <v>0</v>
      </c>
    </row>
    <row r="16" spans="1:7">
      <c r="A16">
        <v>14</v>
      </c>
      <c r="B16" t="s">
        <v>966</v>
      </c>
      <c r="C16">
        <f t="shared" si="0"/>
        <v>0</v>
      </c>
      <c r="D16">
        <f>'伤害统计(理想)'!AD72+'伤害统计(理想)'!AF65</f>
        <v>0</v>
      </c>
      <c r="E16" s="22" t="e">
        <f>D16/SUM(D:D)</f>
        <v>#VALUE!</v>
      </c>
      <c r="G16">
        <f>'伤害统计(理想)'!AI43</f>
        <v>0</v>
      </c>
    </row>
    <row r="17" spans="1:8">
      <c r="A17">
        <v>15</v>
      </c>
      <c r="B17" t="s">
        <v>979</v>
      </c>
      <c r="C17">
        <f t="shared" si="0"/>
        <v>0</v>
      </c>
      <c r="D17">
        <f>'伤害统计(理想)'!H65+'伤害统计(理想)'!H72</f>
        <v>335002.744</v>
      </c>
      <c r="E17" s="22" t="e">
        <f>D17/SUM(D:D)</f>
        <v>#VALUE!</v>
      </c>
      <c r="G17">
        <f>'伤害统计(理想)'!T43</f>
        <v>0</v>
      </c>
      <c r="H17">
        <f>G17*按提示输入属性!D39</f>
        <v>0</v>
      </c>
    </row>
  </sheetData>
  <sortState ref="A3:E14">
    <sortCondition ref="D3:D14" descending="1"/>
  </sortState>
  <conditionalFormatting sqref="D3:D1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{86de83a9-6d11-4e8a-b45e-edad20ff5a8b}</x14:id>
        </ext>
      </extLst>
    </cfRule>
  </conditionalFormatting>
  <conditionalFormatting sqref="K3:L1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{da25e81d-1025-466e-95f4-55e38a157fd2}</x14:id>
        </ext>
      </extLst>
    </cfRule>
  </conditionalFormatting>
  <pageMargins left="0.75" right="0.75" top="1" bottom="1" header="0.5" footer="0.5"/>
  <pageSetup paperSize="9" orientation="portrait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6de83a9-6d11-4e8a-b45e-edad20ff5a8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D3:D17</xm:sqref>
        </x14:conditionalFormatting>
        <x14:conditionalFormatting xmlns:xm="http://schemas.microsoft.com/office/excel/2006/main">
          <x14:cfRule type="dataBar" id="{da25e81d-1025-466e-95f4-55e38a157fd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K3:L17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55" sqref="B55"/>
    </sheetView>
  </sheetViews>
  <sheetFormatPr defaultColWidth="9.64166666666667" defaultRowHeight="13.5"/>
  <sheetData/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7"/>
  <sheetViews>
    <sheetView topLeftCell="B1" workbookViewId="0">
      <selection activeCell="B55" sqref="B55"/>
    </sheetView>
  </sheetViews>
  <sheetFormatPr defaultColWidth="9.64166666666667" defaultRowHeight="13.5"/>
  <cols>
    <col min="1" max="1" width="14.75" customWidth="1"/>
    <col min="2" max="5" width="12.625"/>
    <col min="6" max="6" width="11.375" customWidth="1"/>
    <col min="7" max="7" width="9.75" customWidth="1"/>
    <col min="8" max="8" width="8.875" customWidth="1"/>
    <col min="9" max="9" width="11.25" customWidth="1"/>
    <col min="10" max="10" width="10" customWidth="1"/>
    <col min="11" max="11" width="14.25" customWidth="1"/>
    <col min="12" max="14" width="8.875" customWidth="1"/>
    <col min="15" max="15" width="15" customWidth="1"/>
    <col min="16" max="16" width="8.875" customWidth="1"/>
    <col min="17" max="18" width="12.625"/>
    <col min="19" max="19" width="19.125" customWidth="1"/>
    <col min="20" max="20" width="13.125" customWidth="1"/>
    <col min="21" max="21" width="16.25" customWidth="1"/>
    <col min="22" max="22" width="22.25" customWidth="1"/>
    <col min="23" max="24" width="12.875" customWidth="1"/>
  </cols>
  <sheetData>
    <row r="1" spans="1:1">
      <c r="A1" t="s">
        <v>1037</v>
      </c>
    </row>
    <row r="2" spans="2:24">
      <c r="B2" t="s">
        <v>924</v>
      </c>
      <c r="C2" t="s">
        <v>25</v>
      </c>
      <c r="D2" t="s">
        <v>926</v>
      </c>
      <c r="E2" t="s">
        <v>927</v>
      </c>
      <c r="F2" t="s">
        <v>928</v>
      </c>
      <c r="G2" t="s">
        <v>929</v>
      </c>
      <c r="H2" t="s">
        <v>930</v>
      </c>
      <c r="I2" t="s">
        <v>931</v>
      </c>
      <c r="J2" t="s">
        <v>933</v>
      </c>
      <c r="K2" t="s">
        <v>38</v>
      </c>
      <c r="L2" t="s">
        <v>934</v>
      </c>
      <c r="M2" t="s">
        <v>28</v>
      </c>
      <c r="N2" t="s">
        <v>1038</v>
      </c>
      <c r="O2" t="s">
        <v>32</v>
      </c>
      <c r="P2" t="s">
        <v>1039</v>
      </c>
      <c r="Q2" t="s">
        <v>947</v>
      </c>
      <c r="R2" t="s">
        <v>948</v>
      </c>
      <c r="S2" t="s">
        <v>949</v>
      </c>
      <c r="T2" t="s">
        <v>950</v>
      </c>
      <c r="U2" t="s">
        <v>951</v>
      </c>
      <c r="V2" t="s">
        <v>952</v>
      </c>
      <c r="W2" t="s">
        <v>953</v>
      </c>
      <c r="X2" t="s">
        <v>954</v>
      </c>
    </row>
    <row r="3" ht="14.25" spans="1:24">
      <c r="A3" s="8" t="s">
        <v>959</v>
      </c>
      <c r="B3">
        <v>600</v>
      </c>
      <c r="C3">
        <f>属性计算面板!B3</f>
        <v>45792</v>
      </c>
      <c r="D3" s="9">
        <v>2.171875</v>
      </c>
      <c r="E3" s="10">
        <v>1</v>
      </c>
      <c r="F3" s="11">
        <v>0.12</v>
      </c>
      <c r="G3" s="11">
        <v>0</v>
      </c>
      <c r="H3" s="11">
        <f>0.2+按提示输入属性!D65*1.6</f>
        <v>1.8</v>
      </c>
      <c r="I3" s="16">
        <f>属性计算面板!B6</f>
        <v>0.472</v>
      </c>
      <c r="J3" s="16">
        <f>27550*(1-60%-额外增益统计!L74)/(27550/2+51164.55)</f>
        <v>0.169696279078004</v>
      </c>
      <c r="K3" s="16">
        <f>属性计算面板!B7</f>
        <v>0.3473</v>
      </c>
      <c r="L3" s="16">
        <v>0.2</v>
      </c>
      <c r="M3" s="16">
        <f>属性计算面板!B4</f>
        <v>0.4994</v>
      </c>
      <c r="N3" s="16">
        <v>0.1</v>
      </c>
      <c r="O3" s="16">
        <f>属性计算面板!B5</f>
        <v>2.0895</v>
      </c>
      <c r="P3" s="16">
        <v>0.1</v>
      </c>
      <c r="Q3">
        <f>INT(INT(B3+C3*D3)*E3*(1+F3+G3)*(1+H3)*(1+I3)*(1-J3)*(1+K3)*(1-L3))</f>
        <v>413342</v>
      </c>
      <c r="R3">
        <f>INT((B3+(C3+属性计算面板!B2*50%)*D3)*E3*(1+F3+G3)*(1+H3)*(1+I3)*(1-J3)*(1+K3)*(1-L3))</f>
        <v>567669</v>
      </c>
      <c r="S3" t="e">
        <f>INT((B3+(C3+属性计算面板!B2*50%)*D3)*E3*(1+F3+G3)*(1+H3)*(1+I3+8.1%*按提示输入属性!D62+10.59%*按提示输入属性!#REF!)*(1-J3)*(1+K3)*(1-L3))</f>
        <v>#VALUE!</v>
      </c>
      <c r="T3">
        <f t="shared" ref="T3:T27" si="0">INT(Q3*(O3+P3))</f>
        <v>905012</v>
      </c>
      <c r="U3">
        <f t="shared" ref="U3:U27" si="1">INT(R3*(O3+P3+0.25))</f>
        <v>1384828</v>
      </c>
      <c r="V3" t="e">
        <f t="shared" ref="V3:V27" si="2">INT(S3*(O3+P3+0.25))</f>
        <v>#VALUE!</v>
      </c>
      <c r="W3">
        <f>INT((B3+(C3+属性计算面板!B2*25%)*D3)*E3*(1+F3+G3)*(1+H3)*(1+I3)*(1-J3)*(1+K3)*(1-L3))</f>
        <v>490507</v>
      </c>
      <c r="X3">
        <f t="shared" ref="X3:X27" si="3">INT(W3*(O3+P3+0.25))</f>
        <v>1196591</v>
      </c>
    </row>
    <row r="4" ht="14.25" spans="1:24">
      <c r="A4" s="8" t="s">
        <v>960</v>
      </c>
      <c r="B4">
        <v>50</v>
      </c>
      <c r="C4">
        <f>属性计算面板!B3</f>
        <v>45792</v>
      </c>
      <c r="D4" s="12">
        <v>0.192708333</v>
      </c>
      <c r="E4" s="10">
        <v>1</v>
      </c>
      <c r="F4" s="11">
        <v>0.12</v>
      </c>
      <c r="G4" s="11">
        <f>0+0.1*按提示输入属性!D54</f>
        <v>0.1</v>
      </c>
      <c r="H4" s="11">
        <f>0.2+按提示输入属性!D65*1.6</f>
        <v>1.8</v>
      </c>
      <c r="I4" s="16">
        <f>属性计算面板!B6</f>
        <v>0.472</v>
      </c>
      <c r="J4" s="16">
        <f>27550*(1-60%-额外增益统计!L74)/(27550/2+51164.55)</f>
        <v>0.169696279078004</v>
      </c>
      <c r="K4" s="16">
        <f>属性计算面板!B7</f>
        <v>0.3473</v>
      </c>
      <c r="L4" s="16">
        <v>0.2</v>
      </c>
      <c r="M4" s="16">
        <f>属性计算面板!B4</f>
        <v>0.4994</v>
      </c>
      <c r="N4" s="16">
        <v>0.1</v>
      </c>
      <c r="O4" s="16">
        <f>属性计算面板!B5</f>
        <v>2.0895</v>
      </c>
      <c r="P4" s="16">
        <v>0.1</v>
      </c>
      <c r="Q4">
        <f>INT(INT(B4+C4*D4)*E4*(1+F4+G4)*(1+H4)*(1+I4)*(1-J4)*(1+K4)*(1-L4))</f>
        <v>39933</v>
      </c>
      <c r="R4">
        <f>INT((B4+(C4+属性计算面板!B2*50%)*D4)*E4*(1+F4+G4)*(1+H4)*(1+I4)*(1-J4)*(1+K4)*(1-L4))</f>
        <v>54851</v>
      </c>
      <c r="S4" t="e">
        <f>INT((B4+(C4+属性计算面板!B2*50%)*D4)*E4*(1+F4+G4)*(1+H4)*(1+I4+8.1%*按提示输入属性!D62+10.59%*按提示输入属性!#REF!)*(1-J4)*(1+K4)*(1-L4))</f>
        <v>#VALUE!</v>
      </c>
      <c r="T4">
        <f t="shared" si="0"/>
        <v>87433</v>
      </c>
      <c r="U4">
        <f t="shared" si="1"/>
        <v>133809</v>
      </c>
      <c r="V4" t="e">
        <f t="shared" si="2"/>
        <v>#VALUE!</v>
      </c>
      <c r="W4">
        <f>INT((B4+(C4+属性计算面板!B2*25%)*D4)*E4*(1+F4+G4)*(1+H4)*(1+I4)*(1-J4)*(1+K4)*(1-L4))</f>
        <v>47393</v>
      </c>
      <c r="X4">
        <f t="shared" si="3"/>
        <v>115615</v>
      </c>
    </row>
    <row r="5" ht="14.25" spans="1:24">
      <c r="A5" s="8" t="s">
        <v>961</v>
      </c>
      <c r="B5">
        <v>50</v>
      </c>
      <c r="C5">
        <f>属性计算面板!B3</f>
        <v>45792</v>
      </c>
      <c r="D5" s="12">
        <v>0.192708333</v>
      </c>
      <c r="E5" s="10">
        <v>1</v>
      </c>
      <c r="F5" s="11">
        <v>0.12</v>
      </c>
      <c r="G5" s="11">
        <f>0.15+0.1*按提示输入属性!D54</f>
        <v>0.25</v>
      </c>
      <c r="H5" s="11">
        <f>0.2+按提示输入属性!D65*1.6</f>
        <v>1.8</v>
      </c>
      <c r="I5" s="16">
        <f>属性计算面板!B6</f>
        <v>0.472</v>
      </c>
      <c r="J5" s="16">
        <f>27550*(1-60%-额外增益统计!L74)/(27550/2+51164.55)</f>
        <v>0.169696279078004</v>
      </c>
      <c r="K5" s="16">
        <f>属性计算面板!B7</f>
        <v>0.3473</v>
      </c>
      <c r="L5" s="16">
        <v>0.2</v>
      </c>
      <c r="M5" s="16">
        <f>属性计算面板!B4</f>
        <v>0.4994</v>
      </c>
      <c r="N5" s="16">
        <v>0.1</v>
      </c>
      <c r="O5" s="16">
        <f>属性计算面板!B5</f>
        <v>2.0895</v>
      </c>
      <c r="P5" s="16">
        <v>0.1</v>
      </c>
      <c r="Q5">
        <f t="shared" ref="Q5:Q27" si="4">INT((B5+C5*D5)*E5*(1+F5+G5)*(1+H5)*(1+I5)*(1-J5)*(1+K5)*(1-L5))</f>
        <v>44845</v>
      </c>
      <c r="R5">
        <f>INT((B5+(C5+属性计算面板!B2*50%)*D5)*E5*(1+F5+G5)*(1+H5)*(1+I5)*(1-J5)*(1+K5)*(1-L5))</f>
        <v>61595</v>
      </c>
      <c r="S5" t="e">
        <f>INT((B5+(C5+属性计算面板!B2*50%)*D5)*E5*(1+F5+G5)*(1+H5)*(1+I5+8.1%*按提示输入属性!D62+10.59%*按提示输入属性!#REF!)*(1-J5)*(1+K5)*(1-L5))</f>
        <v>#VALUE!</v>
      </c>
      <c r="T5">
        <f t="shared" si="0"/>
        <v>98188</v>
      </c>
      <c r="U5">
        <f t="shared" si="1"/>
        <v>150261</v>
      </c>
      <c r="V5" t="e">
        <f t="shared" si="2"/>
        <v>#VALUE!</v>
      </c>
      <c r="W5">
        <f>INT((B5+(C5+属性计算面板!B2*25%)*D5)*E5*(1+F5+G5)*(1+H5)*(1+I5)*(1-J5)*(1+K5)*(1-L5))</f>
        <v>53220</v>
      </c>
      <c r="X5">
        <f t="shared" si="3"/>
        <v>129830</v>
      </c>
    </row>
    <row r="6" ht="14.25" spans="1:24">
      <c r="A6" s="8" t="s">
        <v>962</v>
      </c>
      <c r="B6">
        <v>50</v>
      </c>
      <c r="C6">
        <f>属性计算面板!B3</f>
        <v>45792</v>
      </c>
      <c r="D6" s="12">
        <v>0.192708333</v>
      </c>
      <c r="E6" s="10">
        <v>1</v>
      </c>
      <c r="F6" s="11">
        <v>0.12</v>
      </c>
      <c r="G6" s="11">
        <f>0.3+0.1*按提示输入属性!D54</f>
        <v>0.4</v>
      </c>
      <c r="H6" s="11">
        <f>0.2+按提示输入属性!D65*1.6</f>
        <v>1.8</v>
      </c>
      <c r="I6" s="16">
        <f>属性计算面板!B6</f>
        <v>0.472</v>
      </c>
      <c r="J6" s="16">
        <f>27550*(1-60%-额外增益统计!L74)/(27550/2+51164.55)</f>
        <v>0.169696279078004</v>
      </c>
      <c r="K6" s="16">
        <f>属性计算面板!B7</f>
        <v>0.3473</v>
      </c>
      <c r="L6" s="16">
        <v>0.2</v>
      </c>
      <c r="M6" s="16">
        <f>属性计算面板!B4</f>
        <v>0.4994</v>
      </c>
      <c r="N6" s="16">
        <v>0.1</v>
      </c>
      <c r="O6" s="16">
        <f>属性计算面板!B5</f>
        <v>2.0895</v>
      </c>
      <c r="P6" s="16">
        <v>0.1</v>
      </c>
      <c r="Q6">
        <f t="shared" si="4"/>
        <v>49755</v>
      </c>
      <c r="R6">
        <f>INT((B6+(C6+属性计算面板!B2*50%)*D6)*E6*(1+F6+G6)*(1+H6)*(1+I6)*(1-J6)*(1+K6)*(1-L6))</f>
        <v>68339</v>
      </c>
      <c r="S6" t="e">
        <f>INT((B6+(C6+属性计算面板!B2*50%)*D6)*E6*(1+F6+G6)*(1+H6)*(1+I6+8.1%*按提示输入属性!D62+10.59%*按提示输入属性!#REF!)*(1-J6)*(1+K6)*(1-L6))</f>
        <v>#VALUE!</v>
      </c>
      <c r="T6">
        <f t="shared" si="0"/>
        <v>108938</v>
      </c>
      <c r="U6">
        <f t="shared" si="1"/>
        <v>166712</v>
      </c>
      <c r="V6" t="e">
        <f t="shared" si="2"/>
        <v>#VALUE!</v>
      </c>
      <c r="W6">
        <f>INT((B6+(C6+属性计算面板!B2*25%)*D6)*E6*(1+F6+G6)*(1+H6)*(1+I6)*(1-J6)*(1+K6)*(1-L6))</f>
        <v>59047</v>
      </c>
      <c r="X6">
        <f t="shared" si="3"/>
        <v>144045</v>
      </c>
    </row>
    <row r="7" ht="14.25" spans="1:24">
      <c r="A7" s="8" t="s">
        <v>963</v>
      </c>
      <c r="B7">
        <v>50</v>
      </c>
      <c r="C7">
        <f>属性计算面板!B3</f>
        <v>45792</v>
      </c>
      <c r="D7" s="12">
        <v>0.192708333</v>
      </c>
      <c r="E7" s="10">
        <v>1</v>
      </c>
      <c r="F7" s="11">
        <v>0.12</v>
      </c>
      <c r="G7" s="11">
        <f>0.45+0.1*按提示输入属性!D54</f>
        <v>0.55</v>
      </c>
      <c r="H7" s="11">
        <f>0.2+按提示输入属性!D65*1.6</f>
        <v>1.8</v>
      </c>
      <c r="I7" s="16">
        <f>属性计算面板!B6</f>
        <v>0.472</v>
      </c>
      <c r="J7" s="16">
        <f>27550*(1-60%-额外增益统计!L74)/(27550/2+51164.55)</f>
        <v>0.169696279078004</v>
      </c>
      <c r="K7" s="16">
        <f>属性计算面板!B7</f>
        <v>0.3473</v>
      </c>
      <c r="L7" s="16">
        <v>0.2</v>
      </c>
      <c r="M7" s="16">
        <f>属性计算面板!B4</f>
        <v>0.4994</v>
      </c>
      <c r="N7" s="16">
        <v>0.1</v>
      </c>
      <c r="O7" s="16">
        <f>属性计算面板!B5</f>
        <v>2.0895</v>
      </c>
      <c r="P7" s="16">
        <v>0.1</v>
      </c>
      <c r="Q7">
        <f t="shared" si="4"/>
        <v>54666</v>
      </c>
      <c r="R7">
        <f>INT((B7+(C7+属性计算面板!B2*50%)*D7)*E7*(1+F7+G7)*(1+H7)*(1+I7)*(1-J7)*(1+K7)*(1-L7))</f>
        <v>75083</v>
      </c>
      <c r="S7" t="e">
        <f>INT((B7+(C7+属性计算面板!B2*50%)*D7)*E7*(1+F7+G7)*(1+H7)*(1+I7+8.1%*按提示输入属性!D62+10.59%*按提示输入属性!#REF!)*(1-J7)*(1+K7)*(1-L7))</f>
        <v>#VALUE!</v>
      </c>
      <c r="T7">
        <f t="shared" si="0"/>
        <v>119691</v>
      </c>
      <c r="U7">
        <f t="shared" si="1"/>
        <v>183164</v>
      </c>
      <c r="V7" t="e">
        <f t="shared" si="2"/>
        <v>#VALUE!</v>
      </c>
      <c r="W7">
        <f>INT((B7+(C7+属性计算面板!B2*25%)*D7)*E7*(1+F7+G7)*(1+H7)*(1+I7)*(1-J7)*(1+K7)*(1-L7))</f>
        <v>64874</v>
      </c>
      <c r="X7">
        <f t="shared" si="3"/>
        <v>158260</v>
      </c>
    </row>
    <row r="8" ht="14.25" spans="1:24">
      <c r="A8" s="8" t="s">
        <v>964</v>
      </c>
      <c r="B8">
        <v>50</v>
      </c>
      <c r="C8">
        <f>属性计算面板!B3</f>
        <v>45792</v>
      </c>
      <c r="D8" s="12">
        <v>0.192708333</v>
      </c>
      <c r="E8" s="10">
        <v>1</v>
      </c>
      <c r="F8" s="11">
        <v>0.12</v>
      </c>
      <c r="G8" s="13">
        <f>0.6+0.1*按提示输入属性!D54</f>
        <v>0.7</v>
      </c>
      <c r="H8" s="11">
        <f>0.2+按提示输入属性!D65*1.6</f>
        <v>1.8</v>
      </c>
      <c r="I8" s="16">
        <f>属性计算面板!B6</f>
        <v>0.472</v>
      </c>
      <c r="J8" s="16">
        <f>27550*(1-60%-额外增益统计!L74)/(27550/2+51164.55)</f>
        <v>0.169696279078004</v>
      </c>
      <c r="K8" s="16">
        <f>属性计算面板!B7</f>
        <v>0.3473</v>
      </c>
      <c r="L8" s="16">
        <v>0.2</v>
      </c>
      <c r="M8" s="16">
        <f>属性计算面板!B4</f>
        <v>0.4994</v>
      </c>
      <c r="N8" s="16">
        <v>0.1</v>
      </c>
      <c r="O8" s="16">
        <f>属性计算面板!B5</f>
        <v>2.0895</v>
      </c>
      <c r="P8" s="16">
        <v>0.1</v>
      </c>
      <c r="Q8">
        <f t="shared" si="4"/>
        <v>59576</v>
      </c>
      <c r="R8">
        <f>INT((B8+(C8+属性计算面板!B2*50%)*D8)*E8*(1+F8+G8)*(1+H8)*(1+I8)*(1-J8)*(1+K8)*(1-L8))</f>
        <v>81827</v>
      </c>
      <c r="S8" t="e">
        <f>INT((B8+(C8+属性计算面板!B2*50%)*D8)*E8*(1+F8+G8)*(1+H8)*(1+I8+8.1%*按提示输入属性!D62+10.59%*按提示输入属性!#REF!)*(1-J8)*(1+K8)*(1-L8))</f>
        <v>#VALUE!</v>
      </c>
      <c r="T8">
        <f t="shared" si="0"/>
        <v>130441</v>
      </c>
      <c r="U8">
        <f t="shared" si="1"/>
        <v>199616</v>
      </c>
      <c r="V8" t="e">
        <f t="shared" si="2"/>
        <v>#VALUE!</v>
      </c>
      <c r="W8">
        <f>INT((B8+(C8+属性计算面板!B2*25%)*D8)*E8*(1+F8+G8)*(1+H8)*(1+I8)*(1-J8)*(1+K8)*(1-L8))</f>
        <v>70701</v>
      </c>
      <c r="X8">
        <f t="shared" si="3"/>
        <v>172475</v>
      </c>
    </row>
    <row r="9" ht="14.25" spans="1:24">
      <c r="A9" s="8" t="s">
        <v>967</v>
      </c>
      <c r="B9">
        <v>2087</v>
      </c>
      <c r="C9">
        <f>属性计算面板!B3</f>
        <v>45792</v>
      </c>
      <c r="D9" s="12">
        <v>1.109375</v>
      </c>
      <c r="E9" s="10">
        <v>1</v>
      </c>
      <c r="F9" s="14"/>
      <c r="G9" s="14"/>
      <c r="H9" s="11">
        <v>0.2</v>
      </c>
      <c r="I9" s="16">
        <f>属性计算面板!B6</f>
        <v>0.472</v>
      </c>
      <c r="J9" s="16">
        <f>27550*(1-60%-额外增益统计!L74)/(27550/2+51164.55)</f>
        <v>0.169696279078004</v>
      </c>
      <c r="K9" s="16">
        <f>属性计算面板!B7</f>
        <v>0.3473</v>
      </c>
      <c r="L9" s="16">
        <v>0.2</v>
      </c>
      <c r="M9" s="16">
        <f>属性计算面板!B4</f>
        <v>0.4994</v>
      </c>
      <c r="N9" s="16">
        <v>0.17</v>
      </c>
      <c r="O9" s="16">
        <f>属性计算面板!B5</f>
        <v>2.0895</v>
      </c>
      <c r="P9" s="16">
        <v>0.1</v>
      </c>
      <c r="Q9">
        <f t="shared" si="4"/>
        <v>83605</v>
      </c>
      <c r="R9">
        <f>INT((B9+(C9+属性计算面板!B2*50%)*D9)*E9*(1+F9+G9)*(1+H9)*(1+I9)*(1-J9)*(1+K9)*(1-L9))</f>
        <v>113769</v>
      </c>
      <c r="S9" t="e">
        <f>INT((B9+(C9+属性计算面板!B2*50%)*D9)*E9*(1+F9+G9)*(1+H9)*(1+I9+8.1%*按提示输入属性!D62+10.59%*按提示输入属性!#REF!)*(1-J9)*(1+K9)*(1-L9))</f>
        <v>#VALUE!</v>
      </c>
      <c r="T9">
        <f t="shared" si="0"/>
        <v>183053</v>
      </c>
      <c r="U9">
        <f t="shared" si="1"/>
        <v>277539</v>
      </c>
      <c r="V9" t="e">
        <f t="shared" si="2"/>
        <v>#VALUE!</v>
      </c>
      <c r="W9">
        <f>INT((B9+(C9+属性计算面板!B2*25%)*D9)*E9*(1+F9+G9)*(1+H9)*(1+I9)*(1-J9)*(1+K9)*(1-L9))</f>
        <v>98687</v>
      </c>
      <c r="X9">
        <f t="shared" si="3"/>
        <v>240746</v>
      </c>
    </row>
    <row r="10" ht="14.25" spans="1:24">
      <c r="A10" s="8" t="s">
        <v>968</v>
      </c>
      <c r="B10">
        <v>2726</v>
      </c>
      <c r="C10">
        <f>属性计算面板!B3</f>
        <v>45792</v>
      </c>
      <c r="D10" s="12">
        <v>1.515625</v>
      </c>
      <c r="E10" s="10">
        <v>1</v>
      </c>
      <c r="F10" s="14">
        <v>0.09</v>
      </c>
      <c r="G10" s="14" t="e">
        <f>10%*按提示输入属性!#REF!</f>
        <v>#REF!</v>
      </c>
      <c r="H10" s="11">
        <v>0.2</v>
      </c>
      <c r="I10" s="16">
        <f>属性计算面板!B6</f>
        <v>0.472</v>
      </c>
      <c r="J10" s="16">
        <f>27550*(1-60%-额外增益统计!L74)/(27550/2+51164.55)</f>
        <v>0.169696279078004</v>
      </c>
      <c r="K10" s="16">
        <f>属性计算面板!B7</f>
        <v>0.3473</v>
      </c>
      <c r="L10" s="16">
        <v>0.2</v>
      </c>
      <c r="M10" s="16">
        <f>属性计算面板!B4</f>
        <v>0.4994</v>
      </c>
      <c r="N10" s="16">
        <v>0.04</v>
      </c>
      <c r="O10" s="16">
        <f>属性计算面板!B5</f>
        <v>2.0895</v>
      </c>
      <c r="P10" s="16"/>
      <c r="Q10" t="e">
        <f t="shared" si="4"/>
        <v>#REF!</v>
      </c>
      <c r="R10" t="e">
        <f>INT((B10+(C10+属性计算面板!B2*50%)*D10)*E10*(1+F10+G10)*(1+H10)*(1+I10)*(1-J10)*(1+K10)*(1-L10))</f>
        <v>#REF!</v>
      </c>
      <c r="S10" t="e">
        <f>INT((B10+(C10+属性计算面板!B2*50%)*D10)*E10*(1+F10+G10)*(1+H10)*(1+I10+8.1%*按提示输入属性!D62+10.59%*按提示输入属性!#REF!)*(1-J10)*(1+K10)*(1-L10))</f>
        <v>#REF!</v>
      </c>
      <c r="T10" t="e">
        <f t="shared" si="0"/>
        <v>#REF!</v>
      </c>
      <c r="U10" t="e">
        <f t="shared" si="1"/>
        <v>#REF!</v>
      </c>
      <c r="V10" t="e">
        <f t="shared" si="2"/>
        <v>#REF!</v>
      </c>
      <c r="W10" t="e">
        <f>INT((B10+(C10+属性计算面板!B2*25%)*D10)*E10*(1+F10+G10)*(1+H10)*(1+I10)*(1-J10)*(1+K10)*(1-L10))</f>
        <v>#REF!</v>
      </c>
      <c r="X10" t="e">
        <f t="shared" si="3"/>
        <v>#REF!</v>
      </c>
    </row>
    <row r="11" ht="14.25" spans="1:24">
      <c r="A11" s="8" t="s">
        <v>969</v>
      </c>
      <c r="B11">
        <v>2435</v>
      </c>
      <c r="C11">
        <f>属性计算面板!B3</f>
        <v>45792</v>
      </c>
      <c r="D11" s="12">
        <v>1.239583333</v>
      </c>
      <c r="E11" s="10">
        <v>1</v>
      </c>
      <c r="F11" s="14">
        <v>0.09</v>
      </c>
      <c r="G11" s="14" t="e">
        <f>10%*按提示输入属性!#REF!</f>
        <v>#REF!</v>
      </c>
      <c r="H11" s="11">
        <v>0.2</v>
      </c>
      <c r="I11" s="16">
        <f>属性计算面板!B6</f>
        <v>0.472</v>
      </c>
      <c r="J11" s="16">
        <f>27550*(1-60%-额外增益统计!L74)/(27550/2+51164.55)</f>
        <v>0.169696279078004</v>
      </c>
      <c r="K11" s="16">
        <f>属性计算面板!B7</f>
        <v>0.3473</v>
      </c>
      <c r="L11" s="16">
        <v>0.2</v>
      </c>
      <c r="M11" s="16">
        <f>属性计算面板!B4</f>
        <v>0.4994</v>
      </c>
      <c r="N11" s="16">
        <v>0.04</v>
      </c>
      <c r="O11" s="16">
        <f>属性计算面板!B5</f>
        <v>2.0895</v>
      </c>
      <c r="P11" s="16"/>
      <c r="Q11" t="e">
        <f t="shared" si="4"/>
        <v>#REF!</v>
      </c>
      <c r="R11" t="e">
        <f>INT((B11+(C11+属性计算面板!B3*50%)*D11)*E11*(1+F11+G11)*(1+H11)*(1+I11)*(1-J11)*(1+K11)*(1-L11))</f>
        <v>#REF!</v>
      </c>
      <c r="S11" t="e">
        <f>INT((B11+(C11+属性计算面板!B3*50%)*D11)*E11*(1+F11+G11)*(1+H11)*(1+I11+8.1%*按提示输入属性!D62+10.59%*按提示输入属性!#REF!)*(1-J11)*(1+K11)*(1-L11))</f>
        <v>#REF!</v>
      </c>
      <c r="T11" t="e">
        <f t="shared" si="0"/>
        <v>#REF!</v>
      </c>
      <c r="U11" t="e">
        <f t="shared" si="1"/>
        <v>#REF!</v>
      </c>
      <c r="V11" t="e">
        <f t="shared" si="2"/>
        <v>#REF!</v>
      </c>
      <c r="W11" t="e">
        <f>INT((B11+(C11+属性计算面板!B2*25%)*D11)*E11*(1+F11+G11)*(1+H11)*(1+I11)*(1-J11)*(1+K11)*(1-L11))</f>
        <v>#REF!</v>
      </c>
      <c r="X11" t="e">
        <f t="shared" si="3"/>
        <v>#REF!</v>
      </c>
    </row>
    <row r="12" ht="14.25" spans="1:24">
      <c r="A12" s="8" t="s">
        <v>970</v>
      </c>
      <c r="B12">
        <v>2180</v>
      </c>
      <c r="C12">
        <f>属性计算面板!B3</f>
        <v>45792</v>
      </c>
      <c r="D12" s="12">
        <v>1.104166667</v>
      </c>
      <c r="E12" s="10">
        <v>1</v>
      </c>
      <c r="F12" s="14">
        <v>0.09</v>
      </c>
      <c r="G12" s="14" t="e">
        <f>10%*按提示输入属性!#REF!</f>
        <v>#REF!</v>
      </c>
      <c r="H12" s="11">
        <v>0.2</v>
      </c>
      <c r="I12" s="16">
        <f>属性计算面板!B6</f>
        <v>0.472</v>
      </c>
      <c r="J12" s="16">
        <f>27550*(1-60%-额外增益统计!L74)/(27550/2+51164.55)</f>
        <v>0.169696279078004</v>
      </c>
      <c r="K12" s="16">
        <f>属性计算面板!B7</f>
        <v>0.3473</v>
      </c>
      <c r="L12" s="16">
        <v>0.2</v>
      </c>
      <c r="M12" s="16">
        <f>属性计算面板!B4</f>
        <v>0.4994</v>
      </c>
      <c r="N12" s="16">
        <v>0.04</v>
      </c>
      <c r="O12" s="16">
        <f>属性计算面板!B5</f>
        <v>2.0895</v>
      </c>
      <c r="P12" s="16"/>
      <c r="Q12" t="e">
        <f t="shared" si="4"/>
        <v>#REF!</v>
      </c>
      <c r="R12" t="e">
        <f>INT((B12+(C12+属性计算面板!B4*50%)*D12)*E12*(1+F12+G12)*(1+H12)*(1+I12)*(1-J12)*(1+K12)*(1-L12))</f>
        <v>#REF!</v>
      </c>
      <c r="S12" t="e">
        <f>INT((B12+(C12+属性计算面板!B4*50%)*D12)*E12*(1+F12+G12)*(1+H12)*(1+I12+8.1%*按提示输入属性!D62+10.59%*按提示输入属性!#REF!)*(1-J12)*(1+K12)*(1-L12))</f>
        <v>#REF!</v>
      </c>
      <c r="T12" t="e">
        <f t="shared" si="0"/>
        <v>#REF!</v>
      </c>
      <c r="U12" t="e">
        <f t="shared" si="1"/>
        <v>#REF!</v>
      </c>
      <c r="V12" t="e">
        <f t="shared" si="2"/>
        <v>#REF!</v>
      </c>
      <c r="W12" t="e">
        <f>INT((B12+(C12+属性计算面板!B2*25%)*D12)*E12*(1+F12+G12)*(1+H12)*(1+I12)*(1-J12)*(1+K12)*(1-L12))</f>
        <v>#REF!</v>
      </c>
      <c r="X12" t="e">
        <f t="shared" si="3"/>
        <v>#REF!</v>
      </c>
    </row>
    <row r="13" ht="14.25" spans="1:24">
      <c r="A13" s="8" t="s">
        <v>971</v>
      </c>
      <c r="B13">
        <v>116</v>
      </c>
      <c r="C13">
        <f>属性计算面板!B3</f>
        <v>45792</v>
      </c>
      <c r="D13" s="12">
        <v>0.854166667</v>
      </c>
      <c r="E13" s="10">
        <v>1</v>
      </c>
      <c r="F13" s="14"/>
      <c r="G13" s="14">
        <v>0.1</v>
      </c>
      <c r="H13" s="11">
        <v>0.2</v>
      </c>
      <c r="I13" s="16">
        <f>属性计算面板!B6</f>
        <v>0.472</v>
      </c>
      <c r="J13" s="16">
        <f>27550*(1-60%-额外增益统计!L74)/(27550/2+51164.55)</f>
        <v>0.169696279078004</v>
      </c>
      <c r="K13" s="16">
        <f>属性计算面板!B7</f>
        <v>0.3473</v>
      </c>
      <c r="L13" s="16">
        <v>0.2</v>
      </c>
      <c r="M13" s="16">
        <f>属性计算面板!B4</f>
        <v>0.4994</v>
      </c>
      <c r="N13" s="16"/>
      <c r="O13" s="16">
        <f>属性计算面板!B5</f>
        <v>2.0895</v>
      </c>
      <c r="P13" s="16"/>
      <c r="Q13">
        <f t="shared" si="4"/>
        <v>68216</v>
      </c>
      <c r="R13">
        <f>INT((B13+(C13+属性计算面板!B2*50%)*D13)*E13*(1+F13+G13)*(1+H13)*(1+I13)*(1-J13)*(1+K13)*(1-L13))</f>
        <v>93764</v>
      </c>
      <c r="S13" t="e">
        <f>INT((B13+(C13+属性计算面板!B2*50%)*D13)*E13*(1+F13+G13)*(1+H13)*(1+I13+8.1%*按提示输入属性!D62+10.59%*按提示输入属性!#REF!)*(1-J13)*(1+K13)*(1-L13))</f>
        <v>#VALUE!</v>
      </c>
      <c r="T13">
        <f t="shared" si="0"/>
        <v>142537</v>
      </c>
      <c r="U13">
        <f t="shared" si="1"/>
        <v>219360</v>
      </c>
      <c r="V13" t="e">
        <f t="shared" si="2"/>
        <v>#VALUE!</v>
      </c>
      <c r="W13">
        <f>INT((B13+(C13+属性计算面板!B2*25%)*D13)*E13*(1+F13+G13)*(1+H13)*(1+I13)*(1-J13)*(1+K13)*(1-L13))</f>
        <v>80990</v>
      </c>
      <c r="X13">
        <f t="shared" si="3"/>
        <v>189476</v>
      </c>
    </row>
    <row r="14" ht="14.25" spans="1:24">
      <c r="A14" s="8" t="s">
        <v>972</v>
      </c>
      <c r="B14">
        <v>116</v>
      </c>
      <c r="C14">
        <f>属性计算面板!B3</f>
        <v>45792</v>
      </c>
      <c r="D14" s="12">
        <v>0.854166667</v>
      </c>
      <c r="E14" s="10">
        <v>1</v>
      </c>
      <c r="F14" s="14"/>
      <c r="G14" s="15">
        <v>0.35</v>
      </c>
      <c r="H14" s="11">
        <v>0.2</v>
      </c>
      <c r="I14" s="16">
        <f>属性计算面板!B6</f>
        <v>0.472</v>
      </c>
      <c r="J14" s="16">
        <f>27550*(1-60%-额外增益统计!L74)/(27550/2+51164.55)</f>
        <v>0.169696279078004</v>
      </c>
      <c r="K14" s="16">
        <f>属性计算面板!B7</f>
        <v>0.3473</v>
      </c>
      <c r="L14" s="16">
        <v>0.2</v>
      </c>
      <c r="M14" s="16">
        <f>属性计算面板!B4</f>
        <v>0.4994</v>
      </c>
      <c r="N14" s="16"/>
      <c r="O14" s="16">
        <f>属性计算面板!B5</f>
        <v>2.0895</v>
      </c>
      <c r="P14" s="16"/>
      <c r="Q14">
        <f t="shared" si="4"/>
        <v>83720</v>
      </c>
      <c r="R14">
        <f>INT((B14+(C14+属性计算面板!B2*50%)*D14)*E14*(1+F14+G14)*(1+H14)*(1+I14)*(1-J14)*(1+K14)*(1-L14))</f>
        <v>115074</v>
      </c>
      <c r="S14" t="e">
        <f>INT((B14+(C14+属性计算面板!B2*50%)*D14)*E14*(1+F14+G14)*(1+H14)*(1+I14+8.1%*按提示输入属性!D62+10.59%*按提示输入属性!#REF!)*(1-J14)*(1+K14)*(1-L14))</f>
        <v>#VALUE!</v>
      </c>
      <c r="T14">
        <f t="shared" si="0"/>
        <v>174932</v>
      </c>
      <c r="U14">
        <f t="shared" si="1"/>
        <v>269215</v>
      </c>
      <c r="V14" t="e">
        <f t="shared" si="2"/>
        <v>#VALUE!</v>
      </c>
      <c r="W14">
        <f>INT((B14+(C14+属性计算面板!B2*25%)*D14)*E14*(1+F14+G14)*(1+H14)*(1+I14)*(1-J14)*(1+K14)*(1-L14))</f>
        <v>99397</v>
      </c>
      <c r="X14">
        <f t="shared" si="3"/>
        <v>232539</v>
      </c>
    </row>
    <row r="15" ht="14.25" spans="1:24">
      <c r="A15" s="8" t="s">
        <v>973</v>
      </c>
      <c r="B15">
        <v>116</v>
      </c>
      <c r="C15">
        <f>属性计算面板!B3</f>
        <v>45792</v>
      </c>
      <c r="D15" s="12">
        <v>0.854166667</v>
      </c>
      <c r="E15" s="10">
        <v>1</v>
      </c>
      <c r="F15" s="14"/>
      <c r="G15" s="14">
        <v>0.6</v>
      </c>
      <c r="H15" s="11">
        <v>0.2</v>
      </c>
      <c r="I15" s="16">
        <f>属性计算面板!B6</f>
        <v>0.472</v>
      </c>
      <c r="J15" s="16">
        <f>27550*(1-60%-额外增益统计!L74)/(27550/2+51164.55)</f>
        <v>0.169696279078004</v>
      </c>
      <c r="K15" s="16">
        <f>属性计算面板!B7</f>
        <v>0.3473</v>
      </c>
      <c r="L15" s="16">
        <v>0.2</v>
      </c>
      <c r="M15" s="16">
        <f>属性计算面板!B4</f>
        <v>0.4994</v>
      </c>
      <c r="N15" s="16"/>
      <c r="O15" s="16">
        <f>属性计算面板!B5</f>
        <v>2.0895</v>
      </c>
      <c r="P15" s="16"/>
      <c r="Q15">
        <f t="shared" si="4"/>
        <v>99224</v>
      </c>
      <c r="R15">
        <f>INT((B15+(C15+属性计算面板!B2*50%)*D15)*E15*(1+F15+G15)*(1+H15)*(1+I15)*(1-J15)*(1+K15)*(1-L15))</f>
        <v>136384</v>
      </c>
      <c r="S15" t="e">
        <f>INT((B15+(C15+属性计算面板!B2*50%)*D15)*E15*(1+F15+G15)*(1+H15)*(1+I15+8.1%*按提示输入属性!D62+10.59%*按提示输入属性!#REF!)*(1-J15)*(1+K15)*(1-L15))</f>
        <v>#VALUE!</v>
      </c>
      <c r="T15">
        <f t="shared" si="0"/>
        <v>207328</v>
      </c>
      <c r="U15">
        <f t="shared" si="1"/>
        <v>319070</v>
      </c>
      <c r="V15" t="e">
        <f t="shared" si="2"/>
        <v>#VALUE!</v>
      </c>
      <c r="W15">
        <f>INT((B15+(C15+属性计算面板!B2*25%)*D15)*E15*(1+F15+G15)*(1+H15)*(1+I15)*(1-J15)*(1+K15)*(1-L15))</f>
        <v>117804</v>
      </c>
      <c r="X15">
        <f t="shared" si="3"/>
        <v>275602</v>
      </c>
    </row>
    <row r="16" ht="14.25" spans="1:24">
      <c r="A16" s="8" t="s">
        <v>974</v>
      </c>
      <c r="B16">
        <v>116</v>
      </c>
      <c r="C16">
        <f>属性计算面板!B3</f>
        <v>45792</v>
      </c>
      <c r="D16" s="12">
        <v>0.854166667</v>
      </c>
      <c r="E16" s="10">
        <v>1</v>
      </c>
      <c r="F16" s="14"/>
      <c r="G16" s="14">
        <v>0.85</v>
      </c>
      <c r="H16" s="11">
        <v>0.2</v>
      </c>
      <c r="I16" s="16">
        <f>属性计算面板!B6</f>
        <v>0.472</v>
      </c>
      <c r="J16" s="16">
        <f>27550*(1-60%-额外增益统计!L74)/(27550/2+51164.55)</f>
        <v>0.169696279078004</v>
      </c>
      <c r="K16" s="16">
        <f>属性计算面板!B7</f>
        <v>0.3473</v>
      </c>
      <c r="L16" s="16">
        <v>0.2</v>
      </c>
      <c r="M16" s="16">
        <f>属性计算面板!B4</f>
        <v>0.4994</v>
      </c>
      <c r="N16" s="16"/>
      <c r="O16" s="16">
        <f>属性计算面板!B5</f>
        <v>2.0895</v>
      </c>
      <c r="P16" s="16"/>
      <c r="Q16">
        <f t="shared" si="4"/>
        <v>114728</v>
      </c>
      <c r="R16">
        <f>INT((B16+(C16+属性计算面板!B2*50%)*D16)*E16*(1+F16+G16)*(1+H16)*(1+I16)*(1-J16)*(1+K16)*(1-L16))</f>
        <v>157694</v>
      </c>
      <c r="S16" t="e">
        <f>INT((B16+(C16+属性计算面板!B2*50%)*D16)*E16*(1+F16+G16)*(1+H16)*(1+I16+8.1%*按提示输入属性!D62+10.59%*按提示输入属性!#REF!)*(1-J16)*(1+K16)*(1-L16))</f>
        <v>#VALUE!</v>
      </c>
      <c r="T16">
        <f t="shared" si="0"/>
        <v>239724</v>
      </c>
      <c r="U16">
        <f t="shared" si="1"/>
        <v>368925</v>
      </c>
      <c r="V16" t="e">
        <f t="shared" si="2"/>
        <v>#VALUE!</v>
      </c>
      <c r="W16">
        <f>INT((B16+(C16+属性计算面板!B2*25%)*D16)*E16*(1+F16+G16)*(1+H16)*(1+I16)*(1-J16)*(1+K16)*(1-L16))</f>
        <v>136211</v>
      </c>
      <c r="X16">
        <f t="shared" si="3"/>
        <v>318665</v>
      </c>
    </row>
    <row r="17" ht="14.25" spans="1:24">
      <c r="A17" s="8" t="s">
        <v>975</v>
      </c>
      <c r="B17">
        <v>116</v>
      </c>
      <c r="C17">
        <f>属性计算面板!B3</f>
        <v>45792</v>
      </c>
      <c r="D17" s="12">
        <v>0.854166667</v>
      </c>
      <c r="E17" s="10">
        <v>1</v>
      </c>
      <c r="F17" s="14"/>
      <c r="G17" s="14">
        <v>1.1</v>
      </c>
      <c r="H17" s="11">
        <v>0.2</v>
      </c>
      <c r="I17" s="16">
        <f>属性计算面板!B6</f>
        <v>0.472</v>
      </c>
      <c r="J17" s="16">
        <f>27550*(1-60%-额外增益统计!L74)/(27550/2+51164.55)</f>
        <v>0.169696279078004</v>
      </c>
      <c r="K17" s="16">
        <f>属性计算面板!B7</f>
        <v>0.3473</v>
      </c>
      <c r="L17" s="16">
        <v>0.2</v>
      </c>
      <c r="M17" s="16">
        <f>属性计算面板!B4</f>
        <v>0.4994</v>
      </c>
      <c r="N17" s="16"/>
      <c r="O17" s="16">
        <f>属性计算面板!B5</f>
        <v>2.0895</v>
      </c>
      <c r="P17" s="16"/>
      <c r="Q17">
        <f t="shared" si="4"/>
        <v>130232</v>
      </c>
      <c r="R17">
        <f>INT((B17+(C17+属性计算面板!B2*50%)*D17)*E17*(1+F17+G17)*(1+H17)*(1+I17)*(1-J17)*(1+K17)*(1-L17))</f>
        <v>179004</v>
      </c>
      <c r="S17" t="e">
        <f>INT((B17+(C17+属性计算面板!B2*50%)*D17)*E17*(1+F17+G17)*(1+H17)*(1+I17+8.1%*按提示输入属性!D62+10.59%*按提示输入属性!#REF!)*(1-J17)*(1+K17)*(1-L17))</f>
        <v>#VALUE!</v>
      </c>
      <c r="T17">
        <f t="shared" si="0"/>
        <v>272119</v>
      </c>
      <c r="U17">
        <f t="shared" si="1"/>
        <v>418779</v>
      </c>
      <c r="V17" t="e">
        <f t="shared" si="2"/>
        <v>#VALUE!</v>
      </c>
      <c r="W17">
        <f>INT((B17+(C17+属性计算面板!B2*25%)*D17)*E17*(1+F17+G17)*(1+H17)*(1+I17)*(1-J17)*(1+K17)*(1-L17))</f>
        <v>154618</v>
      </c>
      <c r="X17">
        <f t="shared" si="3"/>
        <v>361728</v>
      </c>
    </row>
    <row r="18" ht="14.25" spans="1:24">
      <c r="A18" s="8" t="s">
        <v>976</v>
      </c>
      <c r="B18">
        <v>0</v>
      </c>
      <c r="C18">
        <f>属性计算面板!B8</f>
        <v>21804</v>
      </c>
      <c r="D18" s="9">
        <v>5.5426</v>
      </c>
      <c r="E18" s="10">
        <v>1</v>
      </c>
      <c r="F18" s="11"/>
      <c r="G18" s="11"/>
      <c r="H18" s="11">
        <v>0.2</v>
      </c>
      <c r="I18" s="16">
        <f>属性计算面板!B6</f>
        <v>0.472</v>
      </c>
      <c r="J18" s="16">
        <f>27550*(1-60%-额外增益统计!L74)/(27550/2+51164.55)</f>
        <v>0.169696279078004</v>
      </c>
      <c r="K18" s="16">
        <f>属性计算面板!B7</f>
        <v>0.3473</v>
      </c>
      <c r="L18" s="16">
        <v>0.2</v>
      </c>
      <c r="M18" s="16">
        <f>属性计算面板!B4</f>
        <v>0.4994</v>
      </c>
      <c r="N18" s="16"/>
      <c r="O18" s="16">
        <f>属性计算面板!B5</f>
        <v>2.0895</v>
      </c>
      <c r="P18" s="16"/>
      <c r="Q18">
        <f t="shared" si="4"/>
        <v>191042</v>
      </c>
      <c r="R18">
        <f>INT((B18+(C18+属性计算面板!B2*50%)*D18)*E18*(1+F18+G18)*(1+H18)*(1+I18)*(1-J18)*(1+K18)*(1-L18))</f>
        <v>341745</v>
      </c>
      <c r="S18" t="e">
        <f>INT((B18+(C18+属性计算面板!B2*50%)*D18)*E18*(1+F18+G18)*(1+H18)*(1+I18+8.1%*按提示输入属性!D62+10.59%*按提示输入属性!#REF!)*(1-J18)*(1+K18)*(1-L18))</f>
        <v>#VALUE!</v>
      </c>
      <c r="T18">
        <f t="shared" si="0"/>
        <v>399182</v>
      </c>
      <c r="U18">
        <f t="shared" si="1"/>
        <v>799512</v>
      </c>
      <c r="V18" t="e">
        <f t="shared" si="2"/>
        <v>#VALUE!</v>
      </c>
      <c r="W18">
        <f>INT((B18+(C18+属性计算面板!B2*25%)*D18)*E18*(1+F18+G18)*(1+H18)*(1+I18)*(1-J18)*(1+K18)*(1-L18))</f>
        <v>266394</v>
      </c>
      <c r="X18">
        <f t="shared" si="3"/>
        <v>623228</v>
      </c>
    </row>
    <row r="19" ht="14.25" spans="1:24">
      <c r="A19" s="8" t="s">
        <v>977</v>
      </c>
      <c r="B19">
        <v>0</v>
      </c>
      <c r="C19">
        <f>属性计算面板!B8</f>
        <v>21804</v>
      </c>
      <c r="D19" s="9">
        <v>3.9589</v>
      </c>
      <c r="E19" s="10">
        <v>1</v>
      </c>
      <c r="F19" s="11"/>
      <c r="G19" s="11"/>
      <c r="H19" s="11">
        <v>0.2</v>
      </c>
      <c r="I19" s="16">
        <f>属性计算面板!B6</f>
        <v>0.472</v>
      </c>
      <c r="J19" s="16">
        <f>27550*(1-60%-额外增益统计!L74)/(27550/2+51164.55)</f>
        <v>0.169696279078004</v>
      </c>
      <c r="K19" s="16">
        <f>属性计算面板!B7</f>
        <v>0.3473</v>
      </c>
      <c r="L19" s="16">
        <v>0.2</v>
      </c>
      <c r="M19" s="16">
        <f>属性计算面板!B4</f>
        <v>0.4994</v>
      </c>
      <c r="N19" s="16"/>
      <c r="O19" s="16">
        <f>属性计算面板!B5</f>
        <v>2.0895</v>
      </c>
      <c r="P19" s="16"/>
      <c r="Q19">
        <f t="shared" si="4"/>
        <v>136455</v>
      </c>
      <c r="R19">
        <f>INT((B19+(C19+属性计算面板!B3*50%)*D19)*E19*(1+F19+G19)*(1+H19)*(1+I19)*(1-J19)*(1+K19)*(1-L19))</f>
        <v>279745</v>
      </c>
      <c r="S19" t="e">
        <f>INT((B19+(C19+属性计算面板!B3*50%)*D19)*E19*(1+F19+G19)*(1+H19)*(1+I19+8.1%*按提示输入属性!D62+10.59%*按提示输入属性!#REF!)*(1-J19)*(1+K19)*(1-L19))</f>
        <v>#VALUE!</v>
      </c>
      <c r="T19">
        <f t="shared" si="0"/>
        <v>285122</v>
      </c>
      <c r="U19">
        <f t="shared" si="1"/>
        <v>654463</v>
      </c>
      <c r="V19" t="e">
        <f t="shared" si="2"/>
        <v>#VALUE!</v>
      </c>
      <c r="W19">
        <f>INT((B19+(C19+属性计算面板!B2*25%)*D19)*E19*(1+F19+G19)*(1+H19)*(1+I19)*(1-J19)*(1+K19)*(1-L19))</f>
        <v>190276</v>
      </c>
      <c r="X19">
        <f t="shared" si="3"/>
        <v>445150</v>
      </c>
    </row>
    <row r="20" ht="14.25" spans="1:24">
      <c r="A20" s="8" t="s">
        <v>978</v>
      </c>
      <c r="B20">
        <v>0</v>
      </c>
      <c r="C20">
        <f>属性计算面板!B8</f>
        <v>21804</v>
      </c>
      <c r="D20" s="12">
        <v>5.5426</v>
      </c>
      <c r="E20" s="10">
        <v>1</v>
      </c>
      <c r="F20" s="14"/>
      <c r="G20" s="14"/>
      <c r="H20" s="11">
        <v>0.2</v>
      </c>
      <c r="I20" s="16">
        <f>属性计算面板!B6</f>
        <v>0.472</v>
      </c>
      <c r="J20" s="16">
        <f>27550*(1-60%-额外增益统计!L74)/(27550/2+51164.55)</f>
        <v>0.169696279078004</v>
      </c>
      <c r="K20" s="16">
        <f>属性计算面板!B7</f>
        <v>0.3473</v>
      </c>
      <c r="L20" s="16">
        <v>0.2</v>
      </c>
      <c r="M20" s="16">
        <f>属性计算面板!B4</f>
        <v>0.4994</v>
      </c>
      <c r="N20" s="16"/>
      <c r="O20" s="16">
        <f>属性计算面板!B5</f>
        <v>2.0895</v>
      </c>
      <c r="P20" s="16"/>
      <c r="Q20">
        <f t="shared" si="4"/>
        <v>191042</v>
      </c>
      <c r="R20">
        <f>INT((B20+(C20+属性计算面板!B4*50%)*D20)*E20*(1+F20+G20)*(1+H20)*(1+I20)*(1-J20)*(1+K20)*(1-L20))</f>
        <v>191044</v>
      </c>
      <c r="S20" t="e">
        <f>INT((B20+(C20+属性计算面板!B4*50%)*D20)*E20*(1+F20+G20)*(1+H20)*(1+I20+8.1%*按提示输入属性!D62+10.59%*按提示输入属性!#REF!)*(1-J20)*(1+K20)*(1-L20))</f>
        <v>#VALUE!</v>
      </c>
      <c r="T20">
        <f t="shared" si="0"/>
        <v>399182</v>
      </c>
      <c r="U20">
        <f t="shared" si="1"/>
        <v>446947</v>
      </c>
      <c r="V20" t="e">
        <f t="shared" si="2"/>
        <v>#VALUE!</v>
      </c>
      <c r="W20">
        <f>INT((B20+(C20+属性计算面板!B2*25%)*D20)*E20*(1+F20+G20)*(1+H20)*(1+I20)*(1-J20)*(1+K20)*(1-L20))</f>
        <v>266394</v>
      </c>
      <c r="X20">
        <f t="shared" si="3"/>
        <v>623228</v>
      </c>
    </row>
    <row r="21" ht="14.25" spans="1:24">
      <c r="A21" s="8" t="s">
        <v>979</v>
      </c>
      <c r="B21">
        <v>78</v>
      </c>
      <c r="C21">
        <f>属性计算面板!B3</f>
        <v>45792</v>
      </c>
      <c r="D21" s="12">
        <v>0.08</v>
      </c>
      <c r="E21" s="10">
        <v>1</v>
      </c>
      <c r="F21" s="14"/>
      <c r="G21" s="14"/>
      <c r="H21" s="11">
        <v>0.2</v>
      </c>
      <c r="I21" s="16">
        <f>属性计算面板!B6</f>
        <v>0.472</v>
      </c>
      <c r="J21" s="16">
        <f>27550*(1-60%-额外增益统计!L74)/(27550/2+51164.55)</f>
        <v>0.169696279078004</v>
      </c>
      <c r="K21" s="16">
        <f>属性计算面板!B7</f>
        <v>0.3473</v>
      </c>
      <c r="L21" s="16">
        <v>0.2</v>
      </c>
      <c r="M21" s="16">
        <f>属性计算面板!B4</f>
        <v>0.4994</v>
      </c>
      <c r="N21" s="16"/>
      <c r="O21" s="16">
        <f>属性计算面板!B5</f>
        <v>2.0895</v>
      </c>
      <c r="P21" s="16"/>
      <c r="Q21">
        <f t="shared" si="4"/>
        <v>5914</v>
      </c>
      <c r="R21">
        <f>INT((B21+(C21+属性计算面板!B2*50%)*D21)*E21*(1+F21+G21)*(1+H21)*(1+I21)*(1-J21)*(1+K21)*(1-L21))</f>
        <v>8089</v>
      </c>
      <c r="S21" t="e">
        <f>INT((B21+(C21+属性计算面板!B2*50%)*D21)*E21*(1+F21+G21)*(1+H21)*(1+I21+8.1%*按提示输入属性!D62+10.59%*按提示输入属性!#REF!)*(1-J21)*(1+K21)*(1-L21))</f>
        <v>#VALUE!</v>
      </c>
      <c r="T21">
        <f t="shared" si="0"/>
        <v>12357</v>
      </c>
      <c r="U21">
        <f t="shared" si="1"/>
        <v>18924</v>
      </c>
      <c r="V21" t="e">
        <f t="shared" si="2"/>
        <v>#VALUE!</v>
      </c>
      <c r="W21">
        <f>INT((B21+(C21+属性计算面板!B2*25%)*D21)*E21*(1+F21+G21)*(1+H21)*(1+I21)*(1-J21)*(1+K21)*(1-L21))</f>
        <v>7001</v>
      </c>
      <c r="X21">
        <f t="shared" si="3"/>
        <v>16378</v>
      </c>
    </row>
    <row r="22" ht="14.25" spans="1:24">
      <c r="A22" s="8" t="s">
        <v>364</v>
      </c>
      <c r="B22">
        <v>33</v>
      </c>
      <c r="C22">
        <f>属性计算面板!B3</f>
        <v>45792</v>
      </c>
      <c r="D22" s="12">
        <v>1.625</v>
      </c>
      <c r="E22" s="10">
        <v>1</v>
      </c>
      <c r="F22" s="14"/>
      <c r="G22" s="14"/>
      <c r="H22" s="11">
        <v>0.2</v>
      </c>
      <c r="I22" s="16">
        <f>属性计算面板!B6</f>
        <v>0.472</v>
      </c>
      <c r="J22" s="16">
        <f>27550*(1-60%-额外增益统计!L74)/(27550/2+51164.55)</f>
        <v>0.169696279078004</v>
      </c>
      <c r="K22" s="16">
        <f>属性计算面板!B7</f>
        <v>0.3473</v>
      </c>
      <c r="L22" s="16">
        <v>0.2</v>
      </c>
      <c r="M22" s="16">
        <f>属性计算面板!B4</f>
        <v>0.4994</v>
      </c>
      <c r="N22" s="16"/>
      <c r="O22" s="16">
        <f>属性计算面板!B5</f>
        <v>2.0895</v>
      </c>
      <c r="P22" s="16"/>
      <c r="Q22">
        <f t="shared" si="4"/>
        <v>117683</v>
      </c>
      <c r="R22">
        <f>INT((B22+(C22+属性计算面板!B2*50%)*D22)*E22*(1+F22+G22)*(1+H22)*(1+I22)*(1-J22)*(1+K22)*(1-L22))</f>
        <v>161867</v>
      </c>
      <c r="S22" t="e">
        <f>INT((B22+(C22+属性计算面板!B2*50%)*D22)*E22*(1+F22+G22)*(1+H22)*(1+I22+8.1%*按提示输入属性!D62+10.59%*按提示输入属性!#REF!)*(1-J22)*(1+K22)*(1-L22))</f>
        <v>#VALUE!</v>
      </c>
      <c r="T22">
        <f t="shared" si="0"/>
        <v>245898</v>
      </c>
      <c r="U22">
        <f t="shared" si="1"/>
        <v>378687</v>
      </c>
      <c r="V22" t="e">
        <f t="shared" si="2"/>
        <v>#VALUE!</v>
      </c>
      <c r="W22">
        <f>INT((B22+(C22+属性计算面板!B2*25%)*D22)*E22*(1+F22+G22)*(1+H22)*(1+I22)*(1-J22)*(1+K22)*(1-L22))</f>
        <v>139775</v>
      </c>
      <c r="X22">
        <f t="shared" si="3"/>
        <v>327003</v>
      </c>
    </row>
    <row r="23" ht="14.25" spans="1:24">
      <c r="A23" s="8" t="s">
        <v>980</v>
      </c>
      <c r="B23">
        <v>0</v>
      </c>
      <c r="C23">
        <f>属性计算面板!B3</f>
        <v>45792</v>
      </c>
      <c r="D23">
        <v>0.26041</v>
      </c>
      <c r="E23" s="10">
        <v>1</v>
      </c>
      <c r="F23" s="16"/>
      <c r="G23" s="16"/>
      <c r="H23" s="11">
        <v>0.2</v>
      </c>
      <c r="I23" s="16">
        <f>属性计算面板!B6</f>
        <v>0.472</v>
      </c>
      <c r="J23" s="16">
        <f>27550*(1-60%-额外增益统计!L74)/(27550/2+51164.55)</f>
        <v>0.169696279078004</v>
      </c>
      <c r="K23" s="16">
        <f>属性计算面板!B7</f>
        <v>0.3473</v>
      </c>
      <c r="L23" s="16">
        <v>0.2</v>
      </c>
      <c r="M23" s="16">
        <f>属性计算面板!B4</f>
        <v>0.4994</v>
      </c>
      <c r="N23" s="16"/>
      <c r="O23" s="16">
        <f>属性计算面板!B5</f>
        <v>2.0895</v>
      </c>
      <c r="P23" s="16"/>
      <c r="Q23">
        <f t="shared" si="4"/>
        <v>18850</v>
      </c>
      <c r="R23">
        <f>INT((B23+(C23+属性计算面板!B2*50%)*D23)*E23*(1+F23+G23)*(1+H23)*(1+I23)*(1-J23)*(1+K23)*(1-L23))</f>
        <v>25931</v>
      </c>
      <c r="S23" t="e">
        <f>INT((B23+(C23+属性计算面板!B2*50%)*D23)*E23*(1+F23+G23)*(1+H23)*(1+I23+8.1%*按提示输入属性!D62+10.59%*按提示输入属性!#REF!)*(1-J23)*(1+K23)*(1-L23))</f>
        <v>#VALUE!</v>
      </c>
      <c r="T23">
        <f t="shared" si="0"/>
        <v>39387</v>
      </c>
      <c r="U23">
        <f t="shared" si="1"/>
        <v>60665</v>
      </c>
      <c r="V23" t="e">
        <f t="shared" si="2"/>
        <v>#VALUE!</v>
      </c>
      <c r="W23">
        <f>INT((B23+(C23+属性计算面板!B2*25%)*D23)*E23*(1+F23+G23)*(1+H23)*(1+I23)*(1-J23)*(1+K23)*(1-L23))</f>
        <v>22390</v>
      </c>
      <c r="X23">
        <f t="shared" si="3"/>
        <v>52381</v>
      </c>
    </row>
    <row r="24" ht="14.25" spans="1:24">
      <c r="A24" s="8" t="s">
        <v>981</v>
      </c>
      <c r="B24">
        <v>0</v>
      </c>
      <c r="C24">
        <f>属性计算面板!B3</f>
        <v>45792</v>
      </c>
      <c r="D24">
        <v>0.46875</v>
      </c>
      <c r="E24" s="10">
        <v>1</v>
      </c>
      <c r="F24" s="16"/>
      <c r="G24" s="16"/>
      <c r="H24" s="11">
        <v>0.2</v>
      </c>
      <c r="I24" s="16">
        <f>属性计算面板!B6</f>
        <v>0.472</v>
      </c>
      <c r="J24" s="16">
        <f>27550*(1-60%-额外增益统计!L74)/(27550/2+51164.55)</f>
        <v>0.169696279078004</v>
      </c>
      <c r="K24" s="16">
        <f>属性计算面板!B7</f>
        <v>0.3473</v>
      </c>
      <c r="L24" s="16">
        <v>0.2</v>
      </c>
      <c r="M24" s="16">
        <f>属性计算面板!B4</f>
        <v>0.4994</v>
      </c>
      <c r="N24" s="16"/>
      <c r="O24" s="16">
        <f>属性计算面板!B5</f>
        <v>2.0895</v>
      </c>
      <c r="P24" s="16"/>
      <c r="Q24">
        <f t="shared" si="4"/>
        <v>33932</v>
      </c>
      <c r="R24">
        <f>INT((B24+(C24+属性计算面板!B2*50%)*D24)*E24*(1+F24+G24)*(1+H24)*(1+I24)*(1-J24)*(1+K24)*(1-L24))</f>
        <v>46677</v>
      </c>
      <c r="S24" t="e">
        <f>INT((B24+(C24+属性计算面板!B2*50%)*D24)*E24*(1+F24+G24)*(1+H24)*(1+I24+8.1%*按提示输入属性!D62+10.59%*按提示输入属性!#REF!)*(1-J24)*(1+K24)*(1-L24))</f>
        <v>#VALUE!</v>
      </c>
      <c r="T24">
        <f t="shared" si="0"/>
        <v>70900</v>
      </c>
      <c r="U24">
        <f t="shared" si="1"/>
        <v>109200</v>
      </c>
      <c r="V24" t="e">
        <f t="shared" si="2"/>
        <v>#VALUE!</v>
      </c>
      <c r="W24">
        <f>INT((B24+(C24+属性计算面板!B2*25%)*D24)*E24*(1+F24+G24)*(1+H24)*(1+I24)*(1-J24)*(1+K24)*(1-L24))</f>
        <v>40304</v>
      </c>
      <c r="X24">
        <f t="shared" si="3"/>
        <v>94291</v>
      </c>
    </row>
    <row r="25" ht="14.25" spans="1:24">
      <c r="A25" t="s">
        <v>72</v>
      </c>
      <c r="B25">
        <v>550865</v>
      </c>
      <c r="C25">
        <v>0</v>
      </c>
      <c r="D25">
        <v>1</v>
      </c>
      <c r="E25" s="10">
        <v>1</v>
      </c>
      <c r="H25" s="11">
        <v>0.2</v>
      </c>
      <c r="I25" s="16">
        <f>属性计算面板!B6</f>
        <v>0.472</v>
      </c>
      <c r="J25">
        <f>27550*(1-60%-额外增益统计!L74)/(27550/2+51164.55)</f>
        <v>0.169696279078004</v>
      </c>
      <c r="K25">
        <f>属性计算面板!B7</f>
        <v>0.3473</v>
      </c>
      <c r="L25" s="16">
        <v>0.2</v>
      </c>
      <c r="M25" s="16">
        <f>属性计算面板!B4</f>
        <v>0.4994</v>
      </c>
      <c r="N25" s="16"/>
      <c r="O25">
        <f>属性计算面板!B5</f>
        <v>2.0895</v>
      </c>
      <c r="Q25">
        <f t="shared" si="4"/>
        <v>870814</v>
      </c>
      <c r="R25">
        <f>INT((B25+(C25+属性计算面板!B3*50%)*D25)*E25*(1+F25+G25)*(1+H25)*(1+I25)*(1-J25)*(1+K25)*(1-L25))</f>
        <v>907008</v>
      </c>
      <c r="S25" t="e">
        <f>INT((B25+(C25+属性计算面板!B3*50%)*D25)*E25*(1+F25+G25)*(1+H25)*(1+I25+8.1%*按提示输入属性!D62+10.59%*按提示输入属性!#REF!)*(1-J25)*(1+K25)*(1-L25))</f>
        <v>#VALUE!</v>
      </c>
      <c r="T25">
        <f t="shared" si="0"/>
        <v>1819565</v>
      </c>
      <c r="U25">
        <f t="shared" si="1"/>
        <v>2121945</v>
      </c>
      <c r="V25" t="e">
        <f t="shared" si="2"/>
        <v>#VALUE!</v>
      </c>
      <c r="W25">
        <f>INT((B25+(C25+属性计算面板!B2*25%)*D25)*E25*(1+F25+G25)*(1+H25)*(1+I25)*(1-J25)*(1+K25)*(1-L25))</f>
        <v>884409</v>
      </c>
      <c r="X25">
        <f t="shared" si="3"/>
        <v>2069074</v>
      </c>
    </row>
    <row r="26" ht="14.25" spans="1:24">
      <c r="A26" t="s">
        <v>70</v>
      </c>
      <c r="B26">
        <v>568199</v>
      </c>
      <c r="C26">
        <v>0</v>
      </c>
      <c r="D26">
        <v>1</v>
      </c>
      <c r="E26" s="10">
        <v>1</v>
      </c>
      <c r="H26" s="11">
        <v>0.2</v>
      </c>
      <c r="I26" s="16">
        <f>属性计算面板!B6</f>
        <v>0.472</v>
      </c>
      <c r="J26">
        <f>27550*(1-60%-额外增益统计!L74)/(27550/2+51164.55)</f>
        <v>0.169696279078004</v>
      </c>
      <c r="K26">
        <f>属性计算面板!B7</f>
        <v>0.3473</v>
      </c>
      <c r="L26" s="16">
        <v>0.2</v>
      </c>
      <c r="M26" s="16">
        <f>属性计算面板!B4</f>
        <v>0.4994</v>
      </c>
      <c r="N26" s="16"/>
      <c r="O26">
        <f>属性计算面板!B5</f>
        <v>2.0895</v>
      </c>
      <c r="Q26">
        <f t="shared" si="4"/>
        <v>898216</v>
      </c>
      <c r="R26">
        <f>INT((B26+(C26+属性计算面板!B4*50%)*D26)*E26*(1+F26+G26)*(1+H26)*(1+I26)*(1-J26)*(1+K26)*(1-L26))</f>
        <v>898216</v>
      </c>
      <c r="S26" t="e">
        <f>INT((B26+(C26+属性计算面板!B4*50%)*D26)*E26*(1+F26+G26)*(1+H26)*(1+I26+8.1%*按提示输入属性!D62+10.59%*按提示输入属性!#REF!)*(1-J26)*(1+K26)*(1-L26))</f>
        <v>#VALUE!</v>
      </c>
      <c r="T26">
        <f t="shared" si="0"/>
        <v>1876822</v>
      </c>
      <c r="U26">
        <f t="shared" si="1"/>
        <v>2101376</v>
      </c>
      <c r="V26" t="e">
        <f t="shared" si="2"/>
        <v>#VALUE!</v>
      </c>
      <c r="W26">
        <f>INT((B26+(C26+属性计算面板!B2*25%)*D26)*E26*(1+F26+G26)*(1+H26)*(1+I26)*(1-J26)*(1+K26)*(1-L26))</f>
        <v>911811</v>
      </c>
      <c r="X26">
        <f t="shared" si="3"/>
        <v>2133181</v>
      </c>
    </row>
    <row r="27" ht="14.25" spans="1:24">
      <c r="A27" t="s">
        <v>982</v>
      </c>
      <c r="B27">
        <v>141299</v>
      </c>
      <c r="C27">
        <v>0</v>
      </c>
      <c r="D27">
        <v>1</v>
      </c>
      <c r="E27">
        <v>1</v>
      </c>
      <c r="H27" s="11">
        <v>0.2</v>
      </c>
      <c r="I27" s="16">
        <f>属性计算面板!B6</f>
        <v>0.472</v>
      </c>
      <c r="J27">
        <f>27550*(1-60%-额外增益统计!L74)/(27550/2+51164.55)</f>
        <v>0.169696279078004</v>
      </c>
      <c r="K27">
        <f>属性计算面板!B7</f>
        <v>0.3473</v>
      </c>
      <c r="L27" s="16">
        <v>0.2</v>
      </c>
      <c r="M27" s="16">
        <f>属性计算面板!B4</f>
        <v>0.4994</v>
      </c>
      <c r="N27" s="16"/>
      <c r="O27">
        <f>属性计算面板!B5</f>
        <v>2.0895</v>
      </c>
      <c r="Q27">
        <f t="shared" si="4"/>
        <v>223367</v>
      </c>
      <c r="R27">
        <f>INT((B27+(C27+属性计算面板!B5*50%)*D27)*E27*(1+F27+G27)*(1+H27)*(1+I27)*(1-J27)*(1+K27)*(1-L27))</f>
        <v>223368</v>
      </c>
      <c r="S27" t="e">
        <f>INT((B27+(C27+属性计算面板!B5*50%)*D27)*E27*(1+F27+G27)*(1+H27)*(1+I27+8.1%*按提示输入属性!D62+10.59%*按提示输入属性!#REF!)*(1-J27)*(1+K27)*(1-L27))</f>
        <v>#VALUE!</v>
      </c>
      <c r="T27">
        <f t="shared" si="0"/>
        <v>466725</v>
      </c>
      <c r="U27">
        <f t="shared" si="1"/>
        <v>522569</v>
      </c>
      <c r="V27" t="e">
        <f t="shared" si="2"/>
        <v>#VALUE!</v>
      </c>
      <c r="W27">
        <f>INT((B27+(C27+属性计算面板!B2*25%)*D27)*E27*(1+F27+G27)*(1+H27)*(1+I27)*(1-J27)*(1+K27)*(1-L27))</f>
        <v>236962</v>
      </c>
      <c r="X27">
        <f t="shared" si="3"/>
        <v>554372</v>
      </c>
    </row>
    <row r="32" spans="1:16">
      <c r="A32" s="17" t="s">
        <v>1041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7">
      <c r="A33" t="s">
        <v>1042</v>
      </c>
      <c r="B33" s="8" t="s">
        <v>960</v>
      </c>
      <c r="C33" s="8" t="s">
        <v>961</v>
      </c>
      <c r="D33" s="8" t="s">
        <v>962</v>
      </c>
      <c r="E33" s="8" t="s">
        <v>963</v>
      </c>
      <c r="F33" s="8" t="s">
        <v>964</v>
      </c>
      <c r="G33" s="8" t="s">
        <v>971</v>
      </c>
      <c r="H33" s="8" t="s">
        <v>972</v>
      </c>
      <c r="I33" s="8" t="s">
        <v>973</v>
      </c>
      <c r="J33" s="8" t="s">
        <v>974</v>
      </c>
      <c r="K33" s="8" t="s">
        <v>975</v>
      </c>
      <c r="L33" s="8" t="s">
        <v>1043</v>
      </c>
      <c r="M33" s="8" t="s">
        <v>976</v>
      </c>
      <c r="N33" s="8" t="s">
        <v>385</v>
      </c>
      <c r="O33" s="8" t="s">
        <v>1044</v>
      </c>
      <c r="P33" s="8" t="s">
        <v>1045</v>
      </c>
      <c r="Q33" s="8" t="s">
        <v>977</v>
      </c>
    </row>
    <row r="34" spans="1:15">
      <c r="A34" t="s">
        <v>997</v>
      </c>
      <c r="B34">
        <v>4</v>
      </c>
      <c r="C34">
        <v>4</v>
      </c>
      <c r="D34">
        <v>4</v>
      </c>
      <c r="E34">
        <v>4</v>
      </c>
      <c r="F34">
        <v>4</v>
      </c>
      <c r="G34">
        <v>0</v>
      </c>
      <c r="H34">
        <v>1</v>
      </c>
      <c r="I34">
        <v>1</v>
      </c>
      <c r="J34">
        <v>1</v>
      </c>
      <c r="K34">
        <v>1</v>
      </c>
      <c r="L34">
        <v>4</v>
      </c>
      <c r="M34">
        <v>6</v>
      </c>
      <c r="N34">
        <v>0</v>
      </c>
      <c r="O34">
        <v>2</v>
      </c>
    </row>
    <row r="35" spans="1:16">
      <c r="A35" s="17" t="s">
        <v>1046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22">
      <c r="A36" t="s">
        <v>1042</v>
      </c>
      <c r="B36" s="18" t="s">
        <v>960</v>
      </c>
      <c r="C36" s="18" t="s">
        <v>961</v>
      </c>
      <c r="D36" s="18" t="s">
        <v>962</v>
      </c>
      <c r="E36" s="18" t="s">
        <v>963</v>
      </c>
      <c r="F36" s="18" t="s">
        <v>964</v>
      </c>
      <c r="G36" s="18" t="s">
        <v>971</v>
      </c>
      <c r="H36" s="18" t="s">
        <v>972</v>
      </c>
      <c r="I36" s="18" t="s">
        <v>973</v>
      </c>
      <c r="J36" s="18" t="s">
        <v>974</v>
      </c>
      <c r="K36" s="18" t="s">
        <v>975</v>
      </c>
      <c r="L36" s="18" t="s">
        <v>1043</v>
      </c>
      <c r="M36" s="18" t="s">
        <v>976</v>
      </c>
      <c r="N36" s="18" t="s">
        <v>385</v>
      </c>
      <c r="O36" s="18" t="s">
        <v>1047</v>
      </c>
      <c r="P36" s="18" t="s">
        <v>364</v>
      </c>
      <c r="Q36" s="18" t="s">
        <v>981</v>
      </c>
      <c r="R36" s="18" t="s">
        <v>980</v>
      </c>
      <c r="S36" s="18" t="s">
        <v>1044</v>
      </c>
      <c r="T36" s="18" t="s">
        <v>1045</v>
      </c>
      <c r="U36" s="18" t="s">
        <v>977</v>
      </c>
      <c r="V36" s="18" t="s">
        <v>959</v>
      </c>
    </row>
    <row r="37" spans="1:22">
      <c r="A37" t="s">
        <v>997</v>
      </c>
      <c r="B37">
        <f>气剑时间轴!B76-R41</f>
        <v>107</v>
      </c>
      <c r="C37">
        <f>气剑时间轴!B76-R41</f>
        <v>107</v>
      </c>
      <c r="D37">
        <f>气剑时间轴!B76-R41</f>
        <v>107</v>
      </c>
      <c r="E37">
        <f>气剑时间轴!B76-R41</f>
        <v>107</v>
      </c>
      <c r="F37">
        <f>气剑时间轴!B76-R41</f>
        <v>107</v>
      </c>
      <c r="G37">
        <f>INT(属性计算面板!B9/22.5)</f>
        <v>13</v>
      </c>
      <c r="H37" t="e">
        <f>INT(属性计算面板!B9/22.5)-H39-H42</f>
        <v>#VALUE!</v>
      </c>
      <c r="I37" t="e">
        <f>INT(属性计算面板!B9/22.5)-H39-H42</f>
        <v>#VALUE!</v>
      </c>
      <c r="J37" t="e">
        <f>INT(属性计算面板!B9/22.5)-H39-H42</f>
        <v>#VALUE!</v>
      </c>
      <c r="K37" t="e">
        <f>INT(属性计算面板!B9/22.5)-H39-H42</f>
        <v>#VALUE!</v>
      </c>
      <c r="L37">
        <f>D50+E50</f>
        <v>0</v>
      </c>
      <c r="M37">
        <f>F49+E50+D50</f>
        <v>38</v>
      </c>
      <c r="N37" t="e">
        <f>H49</f>
        <v>#VALUE!</v>
      </c>
      <c r="O37">
        <f>按提示输入属性!D37</f>
        <v>0</v>
      </c>
      <c r="P37">
        <f>按提示输入属性!D37</f>
        <v>0</v>
      </c>
      <c r="Q37" t="e">
        <f>(INT(属性计算面板!B9/(10+10/((SUM(B37:P37)+SUM(B39:N39))/属性计算面板!B9)))-O39)*按提示输入属性!D59</f>
        <v>#VALUE!</v>
      </c>
      <c r="R37" t="e">
        <f>(INT(属性计算面板!B9/(10+1/M23))-P39)*按提示输入属性!D60</f>
        <v>#VALUE!</v>
      </c>
      <c r="S37">
        <f>F49</f>
        <v>38</v>
      </c>
      <c r="T37">
        <f>G49</f>
        <v>32</v>
      </c>
      <c r="U37">
        <f>G49</f>
        <v>32</v>
      </c>
      <c r="V37">
        <f>属性计算面板!B12+I45</f>
        <v>7</v>
      </c>
    </row>
    <row r="38" spans="1:24">
      <c r="A38" t="s">
        <v>1042</v>
      </c>
      <c r="B38" s="8" t="s">
        <v>960</v>
      </c>
      <c r="C38" s="8" t="s">
        <v>961</v>
      </c>
      <c r="D38" s="8" t="s">
        <v>962</v>
      </c>
      <c r="E38" s="8" t="s">
        <v>963</v>
      </c>
      <c r="F38" s="8" t="s">
        <v>964</v>
      </c>
      <c r="G38" s="8" t="s">
        <v>971</v>
      </c>
      <c r="H38" s="8" t="s">
        <v>972</v>
      </c>
      <c r="I38" s="8" t="s">
        <v>973</v>
      </c>
      <c r="J38" s="8" t="s">
        <v>974</v>
      </c>
      <c r="K38" s="8" t="s">
        <v>975</v>
      </c>
      <c r="L38" s="8" t="s">
        <v>1043</v>
      </c>
      <c r="M38" s="8" t="s">
        <v>976</v>
      </c>
      <c r="N38" s="8" t="s">
        <v>385</v>
      </c>
      <c r="O38" s="8" t="s">
        <v>981</v>
      </c>
      <c r="P38" s="8" t="s">
        <v>980</v>
      </c>
      <c r="Q38" s="8" t="s">
        <v>1044</v>
      </c>
      <c r="R38" s="8" t="s">
        <v>1045</v>
      </c>
      <c r="S38" s="8" t="s">
        <v>977</v>
      </c>
      <c r="T38" s="8" t="s">
        <v>1048</v>
      </c>
      <c r="U38" s="8" t="s">
        <v>1049</v>
      </c>
      <c r="V38" s="18" t="s">
        <v>1050</v>
      </c>
      <c r="W38" s="8" t="s">
        <v>1051</v>
      </c>
      <c r="X38" s="8" t="s">
        <v>1052</v>
      </c>
    </row>
    <row r="39" spans="1:24">
      <c r="A39" t="s">
        <v>997</v>
      </c>
      <c r="B39" t="e">
        <f>B34*(属性计算面板!B12-按提示输入属性!D62)</f>
        <v>#VALUE!</v>
      </c>
      <c r="C39" t="e">
        <f>B34*(属性计算面板!B12-按提示输入属性!D62)</f>
        <v>#VALUE!</v>
      </c>
      <c r="D39" t="e">
        <f>B34*(属性计算面板!B12-按提示输入属性!D62)</f>
        <v>#VALUE!</v>
      </c>
      <c r="E39" t="e">
        <f>B34*(属性计算面板!B12-按提示输入属性!D62)</f>
        <v>#VALUE!</v>
      </c>
      <c r="F39" t="e">
        <f>B34*(属性计算面板!B12-按提示输入属性!D62)</f>
        <v>#VALUE!</v>
      </c>
      <c r="G39" t="e">
        <f>G34*(属性计算面板!B12-按提示输入属性!D62)</f>
        <v>#VALUE!</v>
      </c>
      <c r="H39" t="e">
        <f>H34*(属性计算面板!B12-按提示输入属性!D62)</f>
        <v>#VALUE!</v>
      </c>
      <c r="I39" t="e">
        <f>H34*(属性计算面板!B12-按提示输入属性!D62)</f>
        <v>#VALUE!</v>
      </c>
      <c r="J39" t="e">
        <f>H34*(属性计算面板!B12-按提示输入属性!D62)</f>
        <v>#VALUE!</v>
      </c>
      <c r="K39" t="e">
        <f>H34*(属性计算面板!B12-按提示输入属性!D62)</f>
        <v>#VALUE!</v>
      </c>
      <c r="L39" t="e">
        <f>L34*(属性计算面板!B12-按提示输入属性!D62)</f>
        <v>#VALUE!</v>
      </c>
      <c r="M39" t="e">
        <f>M34*(属性计算面板!B12-按提示输入属性!D62)</f>
        <v>#VALUE!</v>
      </c>
      <c r="N39" t="e">
        <f>N34*(属性计算面板!B12-按提示输入属性!D62)+P37</f>
        <v>#VALUE!</v>
      </c>
      <c r="O39" s="20" t="e">
        <f>(INT((属性计算面板!B12*9)/(10+10/((SUM(B37:P37)+SUM(B39:N39))/属性计算面板!B9))))*按提示输入属性!D59</f>
        <v>#VALUE!</v>
      </c>
      <c r="P39" s="20" t="e">
        <f>INT((属性计算面板!B12*9)/(10+1/(M23+25%)))*按提示输入属性!D60</f>
        <v>#VALUE!</v>
      </c>
      <c r="Q39" t="e">
        <f>O34*(属性计算面板!B12-按提示输入属性!D62)</f>
        <v>#VALUE!</v>
      </c>
      <c r="T39">
        <f>P37*3</f>
        <v>0</v>
      </c>
      <c r="U39">
        <f>T39</f>
        <v>0</v>
      </c>
      <c r="V39">
        <f>V37</f>
        <v>7</v>
      </c>
      <c r="W39">
        <f>G45</f>
        <v>0</v>
      </c>
      <c r="X39">
        <f>W39</f>
        <v>0</v>
      </c>
    </row>
    <row r="40" spans="1:24">
      <c r="A40" s="19" t="s">
        <v>1053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8" t="s">
        <v>1054</v>
      </c>
      <c r="S40" s="8" t="s">
        <v>1055</v>
      </c>
      <c r="T40" s="8" t="s">
        <v>1056</v>
      </c>
      <c r="U40" s="8" t="s">
        <v>1057</v>
      </c>
      <c r="V40" s="8" t="s">
        <v>1058</v>
      </c>
      <c r="W40" s="8" t="s">
        <v>959</v>
      </c>
      <c r="X40" s="8" t="s">
        <v>1050</v>
      </c>
    </row>
    <row r="41" spans="1:24">
      <c r="A41" t="s">
        <v>1042</v>
      </c>
      <c r="B41" s="8" t="s">
        <v>960</v>
      </c>
      <c r="C41" s="8" t="s">
        <v>961</v>
      </c>
      <c r="D41" s="8" t="s">
        <v>962</v>
      </c>
      <c r="E41" s="8" t="s">
        <v>963</v>
      </c>
      <c r="F41" s="8" t="s">
        <v>964</v>
      </c>
      <c r="G41" s="8" t="s">
        <v>971</v>
      </c>
      <c r="H41" s="8" t="s">
        <v>972</v>
      </c>
      <c r="I41" s="8" t="s">
        <v>973</v>
      </c>
      <c r="J41" s="8" t="s">
        <v>974</v>
      </c>
      <c r="K41" s="8" t="s">
        <v>975</v>
      </c>
      <c r="L41" s="8" t="s">
        <v>1043</v>
      </c>
      <c r="M41" s="8" t="s">
        <v>976</v>
      </c>
      <c r="N41" s="8" t="s">
        <v>385</v>
      </c>
      <c r="O41" s="8" t="s">
        <v>1044</v>
      </c>
      <c r="P41" s="8" t="s">
        <v>1045</v>
      </c>
      <c r="Q41" s="8" t="s">
        <v>977</v>
      </c>
      <c r="R41">
        <f>2*P37</f>
        <v>0</v>
      </c>
      <c r="S41">
        <f>2*P37</f>
        <v>0</v>
      </c>
      <c r="T41">
        <f>2*P37</f>
        <v>0</v>
      </c>
      <c r="U41">
        <f>2*P37</f>
        <v>0</v>
      </c>
      <c r="V41">
        <f>2*P37</f>
        <v>0</v>
      </c>
      <c r="W41">
        <f>H45</f>
        <v>0</v>
      </c>
      <c r="X41">
        <f>W41</f>
        <v>0</v>
      </c>
    </row>
    <row r="42" spans="1:16">
      <c r="A42" t="s">
        <v>997</v>
      </c>
      <c r="B42" t="e">
        <f>B34*按提示输入属性!D62</f>
        <v>#VALUE!</v>
      </c>
      <c r="C42" t="e">
        <f>C34*按提示输入属性!D62</f>
        <v>#VALUE!</v>
      </c>
      <c r="D42" t="e">
        <f>D34*按提示输入属性!D62</f>
        <v>#VALUE!</v>
      </c>
      <c r="E42" t="e">
        <f>E34*按提示输入属性!D62</f>
        <v>#VALUE!</v>
      </c>
      <c r="F42" t="e">
        <f>F34*按提示输入属性!D62</f>
        <v>#VALUE!</v>
      </c>
      <c r="G42" t="e">
        <f>G34*按提示输入属性!D62</f>
        <v>#VALUE!</v>
      </c>
      <c r="H42" t="e">
        <f>H34*按提示输入属性!D62</f>
        <v>#VALUE!</v>
      </c>
      <c r="I42" t="e">
        <f>I34*按提示输入属性!D62</f>
        <v>#VALUE!</v>
      </c>
      <c r="J42" t="e">
        <f>J34*按提示输入属性!D62</f>
        <v>#VALUE!</v>
      </c>
      <c r="K42" t="e">
        <f>K34*按提示输入属性!D62</f>
        <v>#VALUE!</v>
      </c>
      <c r="L42" t="e">
        <f>L34*按提示输入属性!D62</f>
        <v>#VALUE!</v>
      </c>
      <c r="M42" t="e">
        <f>M34*按提示输入属性!D62</f>
        <v>#VALUE!</v>
      </c>
      <c r="N42">
        <v>0</v>
      </c>
      <c r="O42" s="20" t="e">
        <f>2*按提示输入属性!D62</f>
        <v>#VALUE!</v>
      </c>
      <c r="P42" s="20"/>
    </row>
    <row r="43" spans="14:16">
      <c r="N43" s="20"/>
      <c r="O43" s="20"/>
      <c r="P43" s="20"/>
    </row>
    <row r="44" spans="1:16">
      <c r="A44" s="20"/>
      <c r="B44" s="20" t="s">
        <v>1059</v>
      </c>
      <c r="C44" s="20" t="s">
        <v>1060</v>
      </c>
      <c r="D44" s="20" t="s">
        <v>1061</v>
      </c>
      <c r="E44" s="20" t="s">
        <v>1062</v>
      </c>
      <c r="F44" s="20" t="s">
        <v>1063</v>
      </c>
      <c r="G44" s="20" t="s">
        <v>1064</v>
      </c>
      <c r="H44" s="20" t="s">
        <v>1065</v>
      </c>
      <c r="I44" s="20" t="s">
        <v>1066</v>
      </c>
      <c r="J44" s="20"/>
      <c r="K44" s="20"/>
      <c r="L44" s="20"/>
      <c r="M44" s="20"/>
      <c r="N44" s="20" t="s">
        <v>1025</v>
      </c>
      <c r="O44" s="20"/>
      <c r="P44" s="20"/>
    </row>
    <row r="45" spans="1:16">
      <c r="A45" s="20" t="s">
        <v>1068</v>
      </c>
      <c r="B45" s="20">
        <f>INT((按提示输入属性!D31-属性计算面板!B19*5-按提示输入属性!D36*10-按提示输入属性!D37*4-按提示输入属性!D37*4)/1.44)</f>
        <v>138</v>
      </c>
      <c r="C45" s="20" t="e">
        <f>B45-E45</f>
        <v>#VALUE!</v>
      </c>
      <c r="D45" s="20" t="e">
        <f>INT((按提示输入属性!D31-按提示输入属性!D36*10-按提示输入属性!D37*4-B47*1.44-C47*1.08-E45*1.44/2-按提示输入属性!D37*4)/1.44)</f>
        <v>#VALUE!</v>
      </c>
      <c r="E45" s="20" t="e">
        <f>G37+G39+G42</f>
        <v>#VALUE!</v>
      </c>
      <c r="F45" s="20">
        <f>属性计算面板!B19*4*按提示输入属性!D42</f>
        <v>0</v>
      </c>
      <c r="G45" s="20">
        <f>F45/属性计算面板!B19</f>
        <v>0</v>
      </c>
      <c r="H45" s="20">
        <f>INT(F45/2-G45)</f>
        <v>0</v>
      </c>
      <c r="I45" s="20">
        <f>F45-G45-H45</f>
        <v>0</v>
      </c>
      <c r="J45" s="20"/>
      <c r="K45" s="20"/>
      <c r="L45" s="20"/>
      <c r="M45" s="20"/>
      <c r="N45" s="20"/>
      <c r="O45" s="20"/>
      <c r="P45" s="20"/>
    </row>
    <row r="46" spans="1:16">
      <c r="A46" s="20" t="s">
        <v>254</v>
      </c>
      <c r="B46" s="20" t="s">
        <v>1069</v>
      </c>
      <c r="C46" s="20" t="s">
        <v>1070</v>
      </c>
      <c r="D46" s="20" t="s">
        <v>1071</v>
      </c>
      <c r="E46" s="20" t="s">
        <v>1072</v>
      </c>
      <c r="F46" s="20" t="s">
        <v>1073</v>
      </c>
      <c r="G46" s="20" t="s">
        <v>1074</v>
      </c>
      <c r="H46" s="20" t="s">
        <v>1075</v>
      </c>
      <c r="I46" s="20" t="s">
        <v>1076</v>
      </c>
      <c r="J46" s="20" t="s">
        <v>1077</v>
      </c>
      <c r="K46" s="20"/>
      <c r="L46" s="20"/>
      <c r="M46" s="20"/>
      <c r="N46" s="20"/>
      <c r="O46" s="20"/>
      <c r="P46" s="20"/>
    </row>
    <row r="47" spans="1:21">
      <c r="A47" s="20" t="s">
        <v>1078</v>
      </c>
      <c r="B47" s="20">
        <f>2*属性计算面板!B12</f>
        <v>14</v>
      </c>
      <c r="C47" s="20">
        <f>属性计算面板!B12</f>
        <v>7</v>
      </c>
      <c r="D47" s="20">
        <f>MEDIAN(属性计算面板!B4+4%,0,100%)</f>
        <v>0.5394</v>
      </c>
      <c r="E47" s="20">
        <f>INT(B45/2)+1</f>
        <v>70</v>
      </c>
      <c r="F47" s="20">
        <f>INT(E47*D47)+1</f>
        <v>38</v>
      </c>
      <c r="G47" s="20">
        <f>ROUND(E47-F47,0)</f>
        <v>32</v>
      </c>
      <c r="H47" s="20" t="e">
        <f>D45-E47</f>
        <v>#VALUE!</v>
      </c>
      <c r="I47" s="20" t="e">
        <f>INT(H47*MIN(1,(属性计算面板!B4+7%)))</f>
        <v>#VALUE!</v>
      </c>
      <c r="J47" s="20" t="e">
        <f>MEDIAN(H47-I47,0,999999)</f>
        <v>#VALUE!</v>
      </c>
      <c r="K47" s="20"/>
      <c r="L47" s="20"/>
      <c r="M47" s="20"/>
      <c r="N47" s="20"/>
      <c r="O47" s="20"/>
      <c r="P47" s="20"/>
      <c r="U47" t="s">
        <v>1025</v>
      </c>
    </row>
    <row r="48" spans="1:22">
      <c r="A48" s="20"/>
      <c r="B48" s="20"/>
      <c r="C48" s="20"/>
      <c r="D48" s="20" t="s">
        <v>1079</v>
      </c>
      <c r="E48" s="20" t="s">
        <v>1080</v>
      </c>
      <c r="F48" s="20"/>
      <c r="G48" s="20"/>
      <c r="H48" s="20"/>
      <c r="I48" s="20"/>
      <c r="J48" s="20"/>
      <c r="K48" s="20"/>
      <c r="L48" s="20"/>
      <c r="M48" s="20" t="s">
        <v>184</v>
      </c>
      <c r="N48" s="20"/>
      <c r="O48" s="20"/>
      <c r="P48" s="20"/>
      <c r="V48" t="s">
        <v>184</v>
      </c>
    </row>
    <row r="49" spans="1:16">
      <c r="A49" s="20" t="s">
        <v>1082</v>
      </c>
      <c r="B49" s="20" t="s">
        <v>337</v>
      </c>
      <c r="C49" s="20" t="b">
        <f>IF(COUNTIF(按提示输入属性!D80,B49)&gt;0,TRUE,FALSE)</f>
        <v>0</v>
      </c>
      <c r="D49" s="20">
        <f>INT(F47*D51)</f>
        <v>20</v>
      </c>
      <c r="E49" s="20">
        <f>INT(G47*D51)</f>
        <v>17</v>
      </c>
      <c r="F49" s="20">
        <f>F47-D50</f>
        <v>38</v>
      </c>
      <c r="G49" s="20">
        <f>G47-E50</f>
        <v>32</v>
      </c>
      <c r="H49" s="20" t="e">
        <f>I47+J47</f>
        <v>#VALUE!</v>
      </c>
      <c r="I49" s="20"/>
      <c r="J49" s="20"/>
      <c r="K49" s="20"/>
      <c r="L49" s="20"/>
      <c r="M49" s="20"/>
      <c r="N49" s="20"/>
      <c r="O49" s="20"/>
      <c r="P49" s="20"/>
    </row>
    <row r="50" spans="1:16">
      <c r="A50" s="20"/>
      <c r="B50" s="20"/>
      <c r="C50" s="20"/>
      <c r="D50" s="20">
        <f>SUMIFS(D49,D49,"&gt;0",C49,TRUE)</f>
        <v>0</v>
      </c>
      <c r="E50" s="20">
        <f>SUMIFS(E49,E49,"&gt;0",C49,TRUE)</f>
        <v>0</v>
      </c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>
      <c r="A51" s="20"/>
      <c r="B51" s="20"/>
      <c r="C51" s="20"/>
      <c r="D51" s="20">
        <f>MEDIAN(属性计算面板!B4+4%,0,100%)</f>
        <v>0.5394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2:18">
      <c r="B56" s="8" t="s">
        <v>383</v>
      </c>
      <c r="C56" s="8" t="s">
        <v>1083</v>
      </c>
      <c r="D56" s="8" t="s">
        <v>1043</v>
      </c>
      <c r="E56" s="8" t="s">
        <v>976</v>
      </c>
      <c r="F56" s="8" t="s">
        <v>385</v>
      </c>
      <c r="G56" s="8" t="s">
        <v>981</v>
      </c>
      <c r="H56" s="8" t="s">
        <v>980</v>
      </c>
      <c r="I56" s="8" t="s">
        <v>103</v>
      </c>
      <c r="J56" s="8" t="s">
        <v>1044</v>
      </c>
      <c r="K56" s="8" t="s">
        <v>1048</v>
      </c>
      <c r="L56" s="8" t="s">
        <v>72</v>
      </c>
      <c r="M56" s="8" t="s">
        <v>1084</v>
      </c>
      <c r="N56" s="8" t="s">
        <v>1049</v>
      </c>
      <c r="O56" s="8" t="s">
        <v>1085</v>
      </c>
      <c r="P56" s="8" t="s">
        <v>1086</v>
      </c>
      <c r="Q56" s="8" t="s">
        <v>959</v>
      </c>
      <c r="R56" s="8" t="s">
        <v>1050</v>
      </c>
    </row>
    <row r="57" spans="1:18">
      <c r="A57" t="s">
        <v>1087</v>
      </c>
      <c r="B57" t="e">
        <f>INT((SUM(U4:U8)*B39+SUM(V4:V8)*B42)*(MEDIAN('伤害统计 (原)'!M4+'伤害统计 (原)'!N4+25%,0,100%)))</f>
        <v>#VALUE!</v>
      </c>
      <c r="C57" t="e">
        <f>INT((SUM('伤害统计 (原)'!U14:U17)*3+SUM('伤害统计 (原)'!V14:V17))*(MEDIAN(M14+25%,0,100%)))</f>
        <v>#VALUE!</v>
      </c>
      <c r="D57" t="e">
        <f>INT((L39*'伤害统计 (原)'!U10+L42*'伤害统计 (原)'!V10)*(MEDIAN('伤害统计 (原)'!M10+25%+'伤害统计 (原)'!N10,0,100%)))</f>
        <v>#VALUE!</v>
      </c>
      <c r="E57" t="e">
        <f>INT(('伤害统计 (原)'!U18*M39+'伤害统计 (原)'!V18*M42)*(MEDIAN(M18+25%,0,100%)))</f>
        <v>#VALUE!</v>
      </c>
      <c r="F57" t="e">
        <f>INT('伤害统计 (原)'!U9*N39*(MEDIAN(M9+N9+25%,0,100%)))</f>
        <v>#VALUE!</v>
      </c>
      <c r="G57" t="e">
        <f>INT(U24*O39*(MEDIAN(M24+25%,0,100%)))</f>
        <v>#VALUE!</v>
      </c>
      <c r="H57">
        <f>INT(U23*(MEDIAN(M23+25%,0,100%)))</f>
        <v>45462</v>
      </c>
      <c r="I57" t="e">
        <f>INT((SUM(B57:H57)+J57)*22.85%*30%*1%*属性计算面板!B16+SUM(B57:H57)*22.85%*70%*5%*属性计算面板!B16)</f>
        <v>#VALUE!</v>
      </c>
      <c r="J57" t="e">
        <f>INT((Q39*'伤害统计 (原)'!U11+O42*'伤害统计 (原)'!V11)*(MEDIAN('伤害统计 (原)'!M11+25%+'伤害统计 (原)'!N11,0,100%)))</f>
        <v>#VALUE!</v>
      </c>
      <c r="K57" t="e">
        <f>INT((T39*'伤害统计 (原)'!X12)*(MEDIAN('伤害统计 (原)'!M12+25%+'伤害统计 (原)'!N12,0,100%)))</f>
        <v>#REF!</v>
      </c>
      <c r="L57">
        <f>'伤害统计 (原)'!T25*按提示输入属性!D35</f>
        <v>0</v>
      </c>
      <c r="M57">
        <f>INT((SUM(X4:X8)*R41)*(MEDIAN('伤害统计 (原)'!M4+'伤害统计 (原)'!N4+25%,0,100%)))</f>
        <v>0</v>
      </c>
      <c r="N57">
        <f>INT((U39*'伤害统计 (原)'!X19)*(MEDIAN('伤害统计 (原)'!M19+25%+'伤害统计 (原)'!N19,0,100%)))</f>
        <v>0</v>
      </c>
      <c r="O57">
        <f>INT((W39*'伤害统计 (原)'!U3)*(MEDIAN('伤害统计 (原)'!M3+25%+'伤害统计 (原)'!N3,0,100%)))</f>
        <v>0</v>
      </c>
      <c r="P57">
        <f>INT((W39*'伤害统计 (原)'!U20)*(MEDIAN('伤害统计 (原)'!M20+25%+'伤害统计 (原)'!N20,0,100%)))</f>
        <v>0</v>
      </c>
      <c r="Q57">
        <f>INT((W41*'伤害统计 (原)'!X3)*(MEDIAN('伤害统计 (原)'!M3+25%+'伤害统计 (原)'!N3,0,100%)))</f>
        <v>0</v>
      </c>
      <c r="R57">
        <f>INT((X41*'伤害统计 (原)'!X20)*(MEDIAN('伤害统计 (原)'!M20+25%+'伤害统计 (原)'!N20,0,100%)))</f>
        <v>0</v>
      </c>
    </row>
    <row r="58" spans="2:19">
      <c r="B58" s="18" t="s">
        <v>383</v>
      </c>
      <c r="C58" s="18" t="s">
        <v>999</v>
      </c>
      <c r="D58" s="18" t="s">
        <v>1044</v>
      </c>
      <c r="E58" s="18" t="s">
        <v>976</v>
      </c>
      <c r="F58" s="18" t="s">
        <v>385</v>
      </c>
      <c r="G58" s="18" t="s">
        <v>1047</v>
      </c>
      <c r="H58" s="18" t="s">
        <v>364</v>
      </c>
      <c r="I58" s="18" t="s">
        <v>981</v>
      </c>
      <c r="J58" s="18" t="s">
        <v>980</v>
      </c>
      <c r="K58" s="18" t="s">
        <v>103</v>
      </c>
      <c r="L58" s="18" t="s">
        <v>70</v>
      </c>
      <c r="M58" s="18" t="s">
        <v>1088</v>
      </c>
      <c r="N58" s="18" t="s">
        <v>1089</v>
      </c>
      <c r="O58" s="18" t="s">
        <v>1045</v>
      </c>
      <c r="P58" s="18" t="s">
        <v>977</v>
      </c>
      <c r="Q58" s="18" t="s">
        <v>959</v>
      </c>
      <c r="R58" s="18" t="s">
        <v>1050</v>
      </c>
      <c r="S58" s="18" t="s">
        <v>1043</v>
      </c>
    </row>
    <row r="59" spans="1:19">
      <c r="A59" t="s">
        <v>1090</v>
      </c>
      <c r="B59">
        <f>INT(SUM(T4:T8)*B37*(MEDIAN(M4+N4,0,100%)))</f>
        <v>34934193</v>
      </c>
      <c r="C59" t="e">
        <f>INT(SUM(T13:T17)*H37*(MEDIAN(M14+N14,0,100%)))+INT(T13*(G37-H37)*(MEDIAN(M14+N14,0,100%)))</f>
        <v>#VALUE!</v>
      </c>
      <c r="D59" t="e">
        <f>INT(SUM(T11)*S37*(MEDIAN(M11+N11,0,100%)))</f>
        <v>#REF!</v>
      </c>
      <c r="E59">
        <f>INT(SUM(T18)*M37*(MEDIAN(M18+N18,0,100%)))</f>
        <v>7575356</v>
      </c>
      <c r="F59" t="e">
        <f>INT(SUM(T9)*N37*(MEDIAN(M9+N9,0,100%)))</f>
        <v>#VALUE!</v>
      </c>
      <c r="G59">
        <f>INT(SUM(T21)*O37*(MEDIAN(M21+N21,0,100%)))</f>
        <v>0</v>
      </c>
      <c r="H59">
        <f>INT(SUM(T22)*P37*(MEDIAN(M22+N22,0,100%)))</f>
        <v>0</v>
      </c>
      <c r="I59" t="e">
        <f>INT(SUM(T24)*Q37*(MEDIAN(M24+N24,0,100%)))</f>
        <v>#VALUE!</v>
      </c>
      <c r="J59" t="e">
        <f>INT(SUM(T23)*R37*(MEDIAN(M23+N23,0,100%)))</f>
        <v>#VALUE!</v>
      </c>
      <c r="K59" t="e">
        <f>INT((SUM(B59:J59)+SUM(M59:P59))*22.85%*30%*1%*属性计算面板!B16+SUM(B59:J59)*22.85%*70%*5%*属性计算面板!B16)</f>
        <v>#VALUE!</v>
      </c>
      <c r="L59">
        <f>(T26+T27)*按提示输入属性!D34</f>
        <v>0</v>
      </c>
      <c r="M59" t="e">
        <f>(C57+D57+C59+D59+C62+D62+C64+D64)*10%*按提示输入属性!D105</f>
        <v>#VALUE!</v>
      </c>
      <c r="O59" t="e">
        <f>INT(SUM(T12)*T37*(MEDIAN(M12+N12,0,100%)))</f>
        <v>#REF!</v>
      </c>
      <c r="P59">
        <f>INT(SUM(T19)*U37*(MEDIAN(M19+N19,0,100%)))</f>
        <v>4556477</v>
      </c>
      <c r="Q59">
        <f>INT(SUM(T3)*V37*(MEDIAN(M3+N3,0,100%)))</f>
        <v>3797249</v>
      </c>
      <c r="R59">
        <f>INT(V39*T20*(MEDIAN(M20+N20,0,100%)))</f>
        <v>1395460</v>
      </c>
      <c r="S59" t="e">
        <f>INT(SUM(T10)*L37*(MEDIAN(M10+N10,0,100%)))</f>
        <v>#REF!</v>
      </c>
    </row>
    <row r="60" spans="4:17">
      <c r="D60" t="e">
        <f>D59*(属性计算面板!B4+10%+4%)*30%/(S37+T37)*N37*(属性计算面板!B5+20%)*按提示输入属性!#REF!</f>
        <v>#REF!</v>
      </c>
      <c r="L60">
        <f>'伤害统计 (原)'!U55*按提示输入属性!D94*5</f>
        <v>0</v>
      </c>
      <c r="Q60">
        <f>INT(Q59*0.4*0.25)*按提示输入属性!D53</f>
        <v>0</v>
      </c>
    </row>
    <row r="61" spans="2:17">
      <c r="B61" s="8" t="s">
        <v>383</v>
      </c>
      <c r="C61" s="8" t="s">
        <v>1083</v>
      </c>
      <c r="D61" s="8" t="s">
        <v>1043</v>
      </c>
      <c r="E61" s="8" t="s">
        <v>976</v>
      </c>
      <c r="F61" s="8" t="s">
        <v>385</v>
      </c>
      <c r="G61" s="8" t="s">
        <v>981</v>
      </c>
      <c r="H61" s="8" t="s">
        <v>980</v>
      </c>
      <c r="I61" s="8" t="s">
        <v>103</v>
      </c>
      <c r="J61" s="8" t="s">
        <v>1044</v>
      </c>
      <c r="K61" s="8" t="s">
        <v>1048</v>
      </c>
      <c r="L61" s="8" t="s">
        <v>1084</v>
      </c>
      <c r="M61" s="8" t="s">
        <v>1049</v>
      </c>
      <c r="N61" s="8" t="s">
        <v>1085</v>
      </c>
      <c r="O61" s="8" t="s">
        <v>1086</v>
      </c>
      <c r="P61" s="8" t="s">
        <v>959</v>
      </c>
      <c r="Q61" s="8" t="s">
        <v>1050</v>
      </c>
    </row>
    <row r="62" spans="1:17">
      <c r="A62" t="s">
        <v>1091</v>
      </c>
      <c r="B62" t="e">
        <f>INT((SUM(R4:R8)*B39+SUM(S4:S8)*B42)*(1-(MEDIAN('伤害统计 (原)'!M4+'伤害统计 (原)'!N4+25%,0,100%))))</f>
        <v>#VALUE!</v>
      </c>
      <c r="C62" t="e">
        <f>INT((SUM('伤害统计 (原)'!R14:R17)*3+SUM('伤害统计 (原)'!S14:S17))*(1-(MEDIAN(M14+25%,0,100%))))</f>
        <v>#VALUE!</v>
      </c>
      <c r="D62" t="e">
        <f>INT((L39*'伤害统计 (原)'!R10+L42*'伤害统计 (原)'!S10)*(1-(MEDIAN('伤害统计 (原)'!M10+25%+'伤害统计 (原)'!N10,0,100%))))</f>
        <v>#VALUE!</v>
      </c>
      <c r="E62" t="e">
        <f>INT(('伤害统计 (原)'!R18*M39+'伤害统计 (原)'!S18*M42)*(1-(MEDIAN(M18+25%,0,100%))))</f>
        <v>#VALUE!</v>
      </c>
      <c r="F62" t="e">
        <f>INT('伤害统计 (原)'!R9*N39*(1-(MEDIAN(M9+N9+25%,0,100%))))</f>
        <v>#VALUE!</v>
      </c>
      <c r="G62" t="e">
        <f>INT(U24*O39*(1-(MEDIAN(M24+25%,0,100%))))</f>
        <v>#VALUE!</v>
      </c>
      <c r="H62">
        <f>INT(U23*(1-(MEDIAN(M23+25%,0,100%))))</f>
        <v>15202</v>
      </c>
      <c r="I62" t="e">
        <f>INT((SUM(B62:H62)+J62)*22.85%*30%*1%*属性计算面板!B16+(SUM(B62:H62)+J62)*22.85%*70%*5%*属性计算面板!B16)</f>
        <v>#VALUE!</v>
      </c>
      <c r="J62" t="e">
        <f>INT((Q39*'伤害统计 (原)'!R11+O42*'伤害统计 (原)'!S11)*(1-(MEDIAN('伤害统计 (原)'!M11+25%+'伤害统计 (原)'!N11,0,100%))))</f>
        <v>#VALUE!</v>
      </c>
      <c r="K62" t="e">
        <f>INT((T39*'伤害统计 (原)'!W12)*(1-(MEDIAN('伤害统计 (原)'!M12+25%+'伤害统计 (原)'!N12,0,100%))))</f>
        <v>#REF!</v>
      </c>
      <c r="L62">
        <f>INT((SUM(W4:W8)*R41)*(1-(MEDIAN('伤害统计 (原)'!M4+'伤害统计 (原)'!N4+25%,0,100%))))</f>
        <v>0</v>
      </c>
      <c r="M62">
        <f>INT((U39*'伤害统计 (原)'!W19)*(1-(MEDIAN('伤害统计 (原)'!M19+25%+'伤害统计 (原)'!N19,0,100%))))</f>
        <v>0</v>
      </c>
      <c r="N62">
        <f>INT((W39*'伤害统计 (原)'!R3)*(1-(MEDIAN('伤害统计 (原)'!M3+25%+'伤害统计 (原)'!N3,0,100%))))</f>
        <v>0</v>
      </c>
      <c r="O62">
        <f>INT((W39*'伤害统计 (原)'!R20)*(1-(MEDIAN('伤害统计 (原)'!M20+25%+'伤害统计 (原)'!N20,0,100%))))</f>
        <v>0</v>
      </c>
      <c r="P62">
        <f>INT((W41*'伤害统计 (原)'!W3)*(1-(MEDIAN('伤害统计 (原)'!M3+25%+'伤害统计 (原)'!N3,0,100%))))</f>
        <v>0</v>
      </c>
      <c r="Q62">
        <f>INT((X41*'伤害统计 (原)'!W20)*(1-(MEDIAN('伤害统计 (原)'!M20+25%+'伤害统计 (原)'!N20,0,100%))))</f>
        <v>0</v>
      </c>
    </row>
    <row r="63" spans="2:17">
      <c r="B63" s="18" t="s">
        <v>383</v>
      </c>
      <c r="C63" s="18" t="s">
        <v>999</v>
      </c>
      <c r="D63" s="18" t="s">
        <v>1044</v>
      </c>
      <c r="E63" s="18" t="s">
        <v>976</v>
      </c>
      <c r="F63" s="18" t="s">
        <v>385</v>
      </c>
      <c r="G63" s="18" t="s">
        <v>1047</v>
      </c>
      <c r="H63" s="18" t="s">
        <v>364</v>
      </c>
      <c r="I63" s="18" t="s">
        <v>981</v>
      </c>
      <c r="J63" s="18" t="s">
        <v>980</v>
      </c>
      <c r="K63" s="18" t="s">
        <v>103</v>
      </c>
      <c r="L63" s="18" t="s">
        <v>1045</v>
      </c>
      <c r="M63" s="18" t="s">
        <v>977</v>
      </c>
      <c r="N63" s="18" t="s">
        <v>959</v>
      </c>
      <c r="O63" s="18" t="s">
        <v>1050</v>
      </c>
      <c r="P63" s="18"/>
      <c r="Q63" s="18" t="s">
        <v>1043</v>
      </c>
    </row>
    <row r="64" spans="1:17">
      <c r="A64" t="s">
        <v>1092</v>
      </c>
      <c r="B64">
        <f>INT(SUM(Q4:Q8)*B37*(1-(MEDIAN(M4+N4,0,100%))))</f>
        <v>10663541</v>
      </c>
      <c r="C64" t="e">
        <f>INT(SUM(Q13:Q17)*H37*(1-(MEDIAN(M14+N14,0,100%))))+INT(Q13*(G37-H37)*(1-(MEDIAN(M14+N14,0,100%))))</f>
        <v>#VALUE!</v>
      </c>
      <c r="D64" t="e">
        <f>INT(SUM(Q11)*S37*(1-(MEDIAN(M11+N11,0,100%))))</f>
        <v>#REF!</v>
      </c>
      <c r="E64">
        <f>INT(SUM(Q18)*M37*(1-(MEDIAN(M18+N18,0,100%))))</f>
        <v>3634153</v>
      </c>
      <c r="F64" t="e">
        <f>INT(SUM(Q9)*N37*(1-(MEDIAN(M9+N9,0,100%))))</f>
        <v>#VALUE!</v>
      </c>
      <c r="G64">
        <f>INT(SUM(Q21)*O37*(1-(MEDIAN(M21+N21,0,100%))))</f>
        <v>0</v>
      </c>
      <c r="H64">
        <f>INT(SUM(Q22)*P37*(1-(MEDIAN(M22+N22,0,100%))))</f>
        <v>0</v>
      </c>
      <c r="I64" t="e">
        <f>INT(SUM(T24)*Q37*(1-(MEDIAN(M24+N24,0,100%))))</f>
        <v>#VALUE!</v>
      </c>
      <c r="J64" t="e">
        <f>INT(SUM(Q23)*R37*(1-(MEDIAN(M23+N23,0,100%))))</f>
        <v>#VALUE!</v>
      </c>
      <c r="K64" t="e">
        <f>INT((SUM(B64:J64)+SUM(L64:M64))*22.85%*30%*1%*属性计算面板!B16+SUM(B64:J64)*22.85%*70%*5%*属性计算面板!B16)</f>
        <v>#VALUE!</v>
      </c>
      <c r="L64" t="e">
        <f>INT(SUM(Q12)*T37*(1-(MEDIAN(M12+N12,0,100%))))</f>
        <v>#REF!</v>
      </c>
      <c r="M64">
        <f>INT(SUM(Q19)*U37*(1-(MEDIAN(M19+N19,0,100%))))</f>
        <v>2185899</v>
      </c>
      <c r="N64">
        <f>INT(SUM(Q3)*V37*(1-(MEDIAN(M3+N3,0,100%))))</f>
        <v>1159093</v>
      </c>
      <c r="O64">
        <f>INT(V39*Q20*(1-(MEDIAN(M3+N3,0,100%))))</f>
        <v>535719</v>
      </c>
      <c r="Q64" t="e">
        <f>INT(SUM(Q10)*L37*(1-(MEDIAN(M10+N10,0,100%))))</f>
        <v>#REF!</v>
      </c>
    </row>
    <row r="65" spans="4:14">
      <c r="D65" t="e">
        <f>D64*(属性计算面板!B4+10%+4%)*30%/(S37+T37)*N37*(属性计算面板!B5+20%)*按提示输入属性!#REF!</f>
        <v>#REF!</v>
      </c>
      <c r="N65">
        <f>INT(N64*0.4*0.25)*按提示输入属性!D53</f>
        <v>0</v>
      </c>
    </row>
    <row r="67" spans="1:2">
      <c r="A67" t="s">
        <v>996</v>
      </c>
      <c r="B67" t="e">
        <f>(SUM(B57:R57)+SUM(B59:S60)+SUM(B64:Q65)+SUM(B62:Q62))</f>
        <v>#VALUE!</v>
      </c>
    </row>
  </sheetData>
  <mergeCells count="3">
    <mergeCell ref="A32:P32"/>
    <mergeCell ref="A35:P35"/>
    <mergeCell ref="A40:Q40"/>
  </mergeCells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5"/>
  <sheetViews>
    <sheetView topLeftCell="A50" workbookViewId="0">
      <selection activeCell="B55" sqref="B55"/>
    </sheetView>
  </sheetViews>
  <sheetFormatPr defaultColWidth="9.64166666666667" defaultRowHeight="13.5" outlineLevelCol="2"/>
  <cols>
    <col min="1" max="1" width="9"/>
    <col min="2" max="2" width="12.875"/>
    <col min="3" max="16382" width="9"/>
  </cols>
  <sheetData>
    <row r="1" spans="1:2">
      <c r="A1" s="1">
        <v>2.31481481481481e-5</v>
      </c>
      <c r="B1" t="s">
        <v>1110</v>
      </c>
    </row>
    <row r="3" spans="1:2">
      <c r="A3" s="2">
        <v>5.78703703703704e-5</v>
      </c>
      <c r="B3" t="s">
        <v>960</v>
      </c>
    </row>
    <row r="4" spans="1:2">
      <c r="A4" s="2">
        <v>6.36574074074074e-5</v>
      </c>
      <c r="B4" t="s">
        <v>961</v>
      </c>
    </row>
    <row r="5" spans="1:2">
      <c r="A5" s="2">
        <v>6.71296296296296e-5</v>
      </c>
      <c r="B5" t="s">
        <v>962</v>
      </c>
    </row>
    <row r="6" spans="1:2">
      <c r="A6" s="2">
        <v>6.94444444444444e-5</v>
      </c>
      <c r="B6" t="s">
        <v>963</v>
      </c>
    </row>
    <row r="7" spans="1:2">
      <c r="A7" s="2">
        <v>7.29166666666667e-5</v>
      </c>
      <c r="B7" t="s">
        <v>964</v>
      </c>
    </row>
    <row r="9" spans="1:2">
      <c r="A9" s="2">
        <v>8.68055555555556e-5</v>
      </c>
      <c r="B9" t="s">
        <v>960</v>
      </c>
    </row>
    <row r="10" spans="1:2">
      <c r="A10" s="2">
        <v>8.91203703703704e-5</v>
      </c>
      <c r="B10" t="s">
        <v>961</v>
      </c>
    </row>
    <row r="11" spans="1:2">
      <c r="A11" s="2">
        <v>9.25925925925926e-5</v>
      </c>
      <c r="B11" t="s">
        <v>962</v>
      </c>
    </row>
    <row r="12" spans="1:2">
      <c r="A12" s="2">
        <v>9.60648148148148e-5</v>
      </c>
      <c r="B12" t="s">
        <v>963</v>
      </c>
    </row>
    <row r="13" spans="1:2">
      <c r="A13" s="2">
        <v>9.83796296296296e-5</v>
      </c>
      <c r="B13" t="s">
        <v>964</v>
      </c>
    </row>
    <row r="15" spans="1:2">
      <c r="A15" s="2">
        <v>0.000113425925925926</v>
      </c>
      <c r="B15" t="s">
        <v>960</v>
      </c>
    </row>
    <row r="16" spans="1:2">
      <c r="A16" s="2">
        <v>0.000115740740740741</v>
      </c>
      <c r="B16" t="s">
        <v>961</v>
      </c>
    </row>
    <row r="17" spans="1:2">
      <c r="A17" s="2">
        <v>0.000119212962962963</v>
      </c>
      <c r="B17" t="s">
        <v>962</v>
      </c>
    </row>
    <row r="18" spans="1:2">
      <c r="A18" s="2">
        <v>0.000121527777777778</v>
      </c>
      <c r="B18" t="s">
        <v>963</v>
      </c>
    </row>
    <row r="19" spans="1:2">
      <c r="A19" s="2">
        <v>0.000125</v>
      </c>
      <c r="B19" t="s">
        <v>964</v>
      </c>
    </row>
    <row r="21" spans="1:2">
      <c r="A21" s="2">
        <v>0.000138888888888889</v>
      </c>
      <c r="B21" t="s">
        <v>960</v>
      </c>
    </row>
    <row r="22" spans="1:2">
      <c r="A22" s="2">
        <v>0.000141203703703704</v>
      </c>
      <c r="B22" t="s">
        <v>961</v>
      </c>
    </row>
    <row r="23" ht="16.5" spans="1:2">
      <c r="A23" s="3">
        <v>0.000144675925925926</v>
      </c>
      <c r="B23" t="s">
        <v>962</v>
      </c>
    </row>
    <row r="24" ht="16.5" spans="1:2">
      <c r="A24" s="3">
        <v>0.000148148148148148</v>
      </c>
      <c r="B24" t="s">
        <v>963</v>
      </c>
    </row>
    <row r="25" ht="16.5" spans="1:2">
      <c r="A25" s="3">
        <v>0.000150462962962963</v>
      </c>
      <c r="B25" t="s">
        <v>964</v>
      </c>
    </row>
    <row r="26" ht="16.5" spans="1:2">
      <c r="A26" s="4"/>
      <c r="B26" s="4"/>
    </row>
    <row r="27" ht="16.5" spans="1:2">
      <c r="A27" s="3">
        <v>0.000165509259259259</v>
      </c>
      <c r="B27" t="s">
        <v>960</v>
      </c>
    </row>
    <row r="28" spans="1:2">
      <c r="A28" s="2">
        <v>0.000167824074074074</v>
      </c>
      <c r="B28" t="s">
        <v>961</v>
      </c>
    </row>
    <row r="29" spans="1:2">
      <c r="A29" s="2">
        <v>0.000171296296296296</v>
      </c>
      <c r="B29" t="s">
        <v>962</v>
      </c>
    </row>
    <row r="30" spans="1:2">
      <c r="A30" s="2">
        <v>0.000173611111111111</v>
      </c>
      <c r="B30" t="s">
        <v>963</v>
      </c>
    </row>
    <row r="31" ht="16.5" spans="1:3">
      <c r="A31" s="3">
        <v>0.000177083333333333</v>
      </c>
      <c r="B31" t="s">
        <v>964</v>
      </c>
      <c r="C31" s="5"/>
    </row>
    <row r="32" ht="16.5" spans="1:3">
      <c r="A32" s="4"/>
      <c r="B32" s="6"/>
      <c r="C32" s="7"/>
    </row>
    <row r="33" ht="16.5" spans="1:3">
      <c r="A33" s="3">
        <v>0.000190972222222222</v>
      </c>
      <c r="B33" t="s">
        <v>960</v>
      </c>
      <c r="C33" s="5"/>
    </row>
    <row r="34" ht="16.5" spans="1:3">
      <c r="A34" s="3">
        <v>0.000193287037037037</v>
      </c>
      <c r="B34" t="s">
        <v>961</v>
      </c>
      <c r="C34" s="7"/>
    </row>
    <row r="35" ht="16.5" spans="1:3">
      <c r="A35" s="3">
        <v>0.000196759259259259</v>
      </c>
      <c r="B35" t="s">
        <v>962</v>
      </c>
      <c r="C35" s="5"/>
    </row>
    <row r="36" ht="16.5" spans="1:2">
      <c r="A36" s="3">
        <v>0.000200231481481481</v>
      </c>
      <c r="B36" t="s">
        <v>963</v>
      </c>
    </row>
    <row r="37" ht="16.5" spans="1:2">
      <c r="A37" s="3">
        <v>0.000202546296296296</v>
      </c>
      <c r="B37" t="s">
        <v>964</v>
      </c>
    </row>
    <row r="38" ht="16.5" spans="1:2">
      <c r="A38" s="4"/>
      <c r="B38" s="6"/>
    </row>
    <row r="39" ht="16.5" spans="1:2">
      <c r="A39" s="3">
        <v>0.000217592592592593</v>
      </c>
      <c r="B39" t="s">
        <v>960</v>
      </c>
    </row>
    <row r="40" ht="16.5" spans="1:2">
      <c r="A40" s="3">
        <v>0.000219907407407407</v>
      </c>
      <c r="B40" t="s">
        <v>961</v>
      </c>
    </row>
    <row r="41" ht="16.5" spans="1:2">
      <c r="A41" s="3">
        <v>0.00022337962962963</v>
      </c>
      <c r="B41" t="s">
        <v>962</v>
      </c>
    </row>
    <row r="42" ht="16.5" spans="1:2">
      <c r="A42" s="3">
        <v>0.000225694444444444</v>
      </c>
      <c r="B42" t="s">
        <v>963</v>
      </c>
    </row>
    <row r="43" ht="16.5" spans="1:2">
      <c r="A43" s="3">
        <v>0.000229166666666667</v>
      </c>
      <c r="B43" t="s">
        <v>964</v>
      </c>
    </row>
    <row r="44" ht="16.5" spans="1:2">
      <c r="A44" s="4"/>
      <c r="B44" s="6"/>
    </row>
    <row r="45" ht="16.5" spans="1:2">
      <c r="A45" s="3">
        <v>0.000243055555555556</v>
      </c>
      <c r="B45" t="s">
        <v>960</v>
      </c>
    </row>
    <row r="46" ht="16.5" spans="1:2">
      <c r="A46" s="3">
        <v>0.00024537037037037</v>
      </c>
      <c r="B46" t="s">
        <v>961</v>
      </c>
    </row>
    <row r="47" ht="16.5" spans="1:2">
      <c r="A47" s="3">
        <v>0.000248842592592593</v>
      </c>
      <c r="B47" t="s">
        <v>962</v>
      </c>
    </row>
    <row r="48" ht="16.5" spans="1:2">
      <c r="A48" s="3">
        <v>0.000252314814814815</v>
      </c>
      <c r="B48" t="s">
        <v>963</v>
      </c>
    </row>
    <row r="49" ht="16.5" spans="1:2">
      <c r="A49" s="3">
        <v>0.00025462962962963</v>
      </c>
      <c r="B49" t="s">
        <v>964</v>
      </c>
    </row>
    <row r="50" ht="16.5" spans="1:2">
      <c r="A50" s="4"/>
      <c r="B50" s="6"/>
    </row>
    <row r="51" ht="16.5" spans="1:2">
      <c r="A51" s="3">
        <v>0.000269675925925926</v>
      </c>
      <c r="B51" t="s">
        <v>960</v>
      </c>
    </row>
    <row r="52" ht="16.5" spans="1:2">
      <c r="A52" s="3">
        <v>0.000271990740740741</v>
      </c>
      <c r="B52" t="s">
        <v>961</v>
      </c>
    </row>
    <row r="53" ht="16.5" spans="1:2">
      <c r="A53" s="3">
        <v>0.000275462962962963</v>
      </c>
      <c r="B53" t="s">
        <v>962</v>
      </c>
    </row>
    <row r="54" ht="16.5" spans="1:2">
      <c r="A54" s="3">
        <v>0.000277777777777778</v>
      </c>
      <c r="B54" t="s">
        <v>963</v>
      </c>
    </row>
    <row r="55" ht="16.5" spans="1:2">
      <c r="A55" s="3">
        <v>0.00028125</v>
      </c>
      <c r="B55" t="s">
        <v>964</v>
      </c>
    </row>
    <row r="56" ht="16.5" spans="1:2">
      <c r="A56" s="4"/>
      <c r="B56" s="6"/>
    </row>
    <row r="57" ht="16.5" spans="1:2">
      <c r="A57" s="3">
        <v>0.000295138888888889</v>
      </c>
      <c r="B57" t="s">
        <v>960</v>
      </c>
    </row>
    <row r="58" ht="16.5" spans="1:2">
      <c r="A58" s="3">
        <v>0.000297453703703704</v>
      </c>
      <c r="B58" t="s">
        <v>961</v>
      </c>
    </row>
    <row r="59" ht="16.5" spans="1:2">
      <c r="A59" s="3">
        <v>0.000300925925925926</v>
      </c>
      <c r="B59" t="s">
        <v>962</v>
      </c>
    </row>
    <row r="60" ht="16.5" spans="1:2">
      <c r="A60" s="3">
        <v>0.000304398148148148</v>
      </c>
      <c r="B60" t="s">
        <v>963</v>
      </c>
    </row>
    <row r="61" ht="16.5" spans="1:2">
      <c r="A61" s="3">
        <v>0.000306712962962963</v>
      </c>
      <c r="B61" t="s">
        <v>964</v>
      </c>
    </row>
    <row r="62" ht="16.5" spans="1:2">
      <c r="A62" s="4"/>
      <c r="B62" s="6"/>
    </row>
    <row r="63" ht="16.5" spans="1:2">
      <c r="A63" s="3">
        <v>0.000321759259259259</v>
      </c>
      <c r="B63" t="s">
        <v>960</v>
      </c>
    </row>
    <row r="64" ht="16.5" spans="1:2">
      <c r="A64" s="3">
        <v>0.000324074074074074</v>
      </c>
      <c r="B64" t="s">
        <v>961</v>
      </c>
    </row>
    <row r="65" ht="16.5" spans="1:2">
      <c r="A65" s="3">
        <v>0.000327546296296296</v>
      </c>
      <c r="B65" t="s">
        <v>962</v>
      </c>
    </row>
    <row r="66" ht="16.5" spans="1:2">
      <c r="A66" s="3">
        <v>0.000329861111111111</v>
      </c>
      <c r="B66" t="s">
        <v>963</v>
      </c>
    </row>
    <row r="67" ht="16.5" spans="1:2">
      <c r="A67" s="3">
        <v>0.000333333333333333</v>
      </c>
      <c r="B67" t="s">
        <v>964</v>
      </c>
    </row>
    <row r="68" ht="16.5" spans="1:2">
      <c r="A68" s="4"/>
      <c r="B68" s="6"/>
    </row>
    <row r="69" ht="16.5" spans="1:2">
      <c r="A69" s="3">
        <v>0.00034375</v>
      </c>
      <c r="B69" s="6" t="s">
        <v>1111</v>
      </c>
    </row>
    <row r="70" ht="16.5" spans="1:2">
      <c r="A70" s="4"/>
      <c r="B70" s="6"/>
    </row>
    <row r="71" ht="16.5" spans="1:2">
      <c r="A71" s="3">
        <v>0.000341435185185185</v>
      </c>
      <c r="B71" s="6" t="s">
        <v>1112</v>
      </c>
    </row>
    <row r="72" ht="16.5" spans="1:2">
      <c r="A72" s="4"/>
      <c r="B72" s="6"/>
    </row>
    <row r="73" ht="16.5" spans="1:3">
      <c r="A73" s="4">
        <v>2.18</v>
      </c>
      <c r="B73" s="6" t="s">
        <v>1113</v>
      </c>
      <c r="C73" t="s">
        <v>1114</v>
      </c>
    </row>
    <row r="74" ht="16.5" spans="1:2">
      <c r="A74" s="4"/>
      <c r="B74" s="6"/>
    </row>
    <row r="75" spans="1:2">
      <c r="A75" t="s">
        <v>254</v>
      </c>
      <c r="B75" t="s">
        <v>1078</v>
      </c>
    </row>
    <row r="76" ht="16.5" spans="1:2">
      <c r="A76" s="4" t="s">
        <v>960</v>
      </c>
      <c r="B76" s="6">
        <f>INT((属性计算面板!B9-3-9*属性计算面板!B12-3*属性计算面板!B13-('伤害统计(理想)'!AH43+'伤害统计(理想)'!AI47)*1.44-'伤害统计(理想)'!G51/4*1)/A73)</f>
        <v>107</v>
      </c>
    </row>
    <row r="77" ht="16.5" spans="1:2">
      <c r="A77" s="4" t="s">
        <v>961</v>
      </c>
      <c r="B77" s="6">
        <f>B76</f>
        <v>107</v>
      </c>
    </row>
    <row r="78" ht="16.5" spans="1:2">
      <c r="A78" s="4" t="s">
        <v>962</v>
      </c>
      <c r="B78" s="6">
        <f>B76</f>
        <v>107</v>
      </c>
    </row>
    <row r="79" ht="16.5" spans="1:2">
      <c r="A79" s="4" t="s">
        <v>963</v>
      </c>
      <c r="B79" s="6">
        <f>B76</f>
        <v>107</v>
      </c>
    </row>
    <row r="80" ht="16.5" spans="1:2">
      <c r="A80" s="4" t="s">
        <v>964</v>
      </c>
      <c r="B80" s="6">
        <f>B76</f>
        <v>107</v>
      </c>
    </row>
    <row r="81" ht="16.5" spans="1:2">
      <c r="A81" s="4" t="s">
        <v>1115</v>
      </c>
      <c r="B81" s="6">
        <f>SUM(B76:B80)</f>
        <v>535</v>
      </c>
    </row>
    <row r="82" ht="16.5" spans="1:2">
      <c r="A82" s="4"/>
      <c r="B82" s="6"/>
    </row>
    <row r="83" ht="16.5" spans="1:2">
      <c r="A83" s="4"/>
      <c r="B83" s="6"/>
    </row>
    <row r="84" ht="16.5" spans="1:2">
      <c r="A84" s="4"/>
      <c r="B84" s="6"/>
    </row>
    <row r="85" ht="16.5" spans="1:2">
      <c r="A85" s="4"/>
      <c r="B85" s="6"/>
    </row>
  </sheetData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>
    <arrUserId title="腾空紫气次数选择" rangeCreator="" othersAccessPermission="edit"/>
    <arrUserId title="手动输入框" rangeCreator="" othersAccessPermission="edit"/>
    <arrUserId title="配装器" rangeCreator="" othersAccessPermission="edit"/>
    <arrUserId title="配装模式选择" rangeCreator="" othersAccessPermission="edit"/>
    <arrUserId title="CW模块开启" rangeCreator="" othersAccessPermission="edit"/>
    <arrUserId title="CW模式输入区" rangeCreator="" othersAccessPermission="edit"/>
    <arrUserId title="计算器设定开关" rangeCreator="" othersAccessPermission="edit"/>
    <arrUserId title="增益选择" rangeCreator="" othersAccessPermission="edit"/>
    <arrUserId title="属性收益单位输入" rangeCreator="" othersAccessPermission="edit"/>
    <arrUserId title="技能数调整" rangeCreator="" othersAccessPermission="edit"/>
    <arrUserId title="小CW模块" rangeCreator="" othersAccessPermission="edit"/>
  </rangeList>
  <rangeList sheetStid="42" master=""/>
  <rangeList sheetStid="16" master=""/>
  <rangeList sheetStid="3" master=""/>
  <rangeList sheetStid="39" master=""/>
  <rangeList sheetStid="1" master=""/>
  <rangeList sheetStid="11" master=""/>
  <rangeList sheetStid="69" master=""/>
  <rangeList sheetStid="70" master=""/>
  <rangeList sheetStid="71" master=""/>
  <rangeList sheetStid="72" master=""/>
  <rangeList sheetStid="73" master=""/>
  <rangeList sheetStid="74" master=""/>
  <rangeList sheetStid="75" master=""/>
  <rangeList sheetStid="68" master=""/>
  <rangeList sheetStid="21" master=""/>
  <rangeList sheetStid="37" master=""/>
  <rangeList sheetStid="15" master=""/>
  <rangeList sheetStid="41" master=""/>
  <rangeList sheetStid="17" master=""/>
  <rangeList sheetStid="8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按提示输入属性</vt:lpstr>
      <vt:lpstr>按提示输入属性 (老版)</vt:lpstr>
      <vt:lpstr>额外增益统计</vt:lpstr>
      <vt:lpstr>属性计算面板</vt:lpstr>
      <vt:lpstr>装备源表</vt:lpstr>
      <vt:lpstr>伤害统计(理想)</vt:lpstr>
      <vt:lpstr>属性收益计算&amp;备注</vt:lpstr>
      <vt:lpstr>基础</vt:lpstr>
      <vt:lpstr>根骨</vt:lpstr>
      <vt:lpstr>会心</vt:lpstr>
      <vt:lpstr>会效</vt:lpstr>
      <vt:lpstr>破防</vt:lpstr>
      <vt:lpstr>无双</vt:lpstr>
      <vt:lpstr>破招</vt:lpstr>
      <vt:lpstr>伤害统计(脸黑)</vt:lpstr>
      <vt:lpstr>逆推系数</vt:lpstr>
      <vt:lpstr>伤害统计(原理想)</vt:lpstr>
      <vt:lpstr>形象化</vt:lpstr>
      <vt:lpstr>Sheet4</vt:lpstr>
      <vt:lpstr>伤害统计 (原)</vt:lpstr>
      <vt:lpstr>气剑时间轴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UNCLECAT</cp:lastModifiedBy>
  <dcterms:created xsi:type="dcterms:W3CDTF">2023-01-19T15:18:00Z</dcterms:created>
  <dcterms:modified xsi:type="dcterms:W3CDTF">2024-05-05T05:32:34Z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03EF064B7E0544668F7DA31BDE156B29_13</vt:lpwstr>
  </property>
  <property fmtid="{D5CDD505-2E9C-101B-9397-08002B2CF9AE}" pid="3" name="KSOProductBuildVer">
    <vt:lpwstr>2052-12.1.0.16729</vt:lpwstr>
  </property>
</Properties>
</file>